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utz\OneDrive\Desktop\"/>
    </mc:Choice>
  </mc:AlternateContent>
  <xr:revisionPtr revIDLastSave="0" documentId="13_ncr:1_{B6E600F7-B335-4AA1-AA3E-938499952CB8}" xr6:coauthVersionLast="47" xr6:coauthVersionMax="47" xr10:uidLastSave="{00000000-0000-0000-0000-000000000000}"/>
  <bookViews>
    <workbookView xWindow="38290" yWindow="-110" windowWidth="38620" windowHeight="21100" xr2:uid="{332326E5-02F8-4ABE-84E0-80B578CFBDDC}"/>
  </bookViews>
  <sheets>
    <sheet name="Main" sheetId="1" r:id="rId1"/>
  </sheets>
  <externalReferences>
    <externalReference r:id="rId2"/>
  </externalReferenc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9" i="1" l="1"/>
  <c r="F86" i="1"/>
  <c r="G86" i="1" s="1"/>
  <c r="H86" i="1" s="1"/>
  <c r="I86" i="1" s="1"/>
  <c r="J86" i="1" s="1"/>
  <c r="K86" i="1" s="1"/>
  <c r="L86" i="1" s="1"/>
  <c r="M86" i="1" s="1"/>
  <c r="N86" i="1" s="1"/>
  <c r="F84" i="1"/>
  <c r="D84" i="1"/>
  <c r="F83" i="1"/>
  <c r="D83" i="1"/>
  <c r="B82" i="1"/>
  <c r="F81" i="1"/>
  <c r="F79" i="1"/>
  <c r="D78" i="1"/>
  <c r="F73" i="1"/>
  <c r="E73" i="1"/>
  <c r="F71" i="1"/>
  <c r="G71" i="1" s="1"/>
  <c r="H71" i="1" s="1"/>
  <c r="I71" i="1" s="1"/>
  <c r="F66" i="1"/>
  <c r="E66" i="1"/>
  <c r="E65" i="1"/>
  <c r="E59" i="1" s="1"/>
  <c r="F57" i="1"/>
  <c r="G57" i="1" s="1"/>
  <c r="H57" i="1" s="1"/>
  <c r="I57" i="1" s="1"/>
  <c r="J57" i="1" s="1"/>
  <c r="K57" i="1" s="1"/>
  <c r="L57" i="1" s="1"/>
  <c r="M57" i="1" s="1"/>
  <c r="N57" i="1" s="1"/>
  <c r="D29" i="1"/>
  <c r="F24" i="1"/>
  <c r="G24" i="1" s="1"/>
  <c r="H20" i="1"/>
  <c r="D17" i="1"/>
  <c r="E28" i="1" s="1"/>
  <c r="D16" i="1"/>
  <c r="D15" i="1"/>
  <c r="E12" i="1"/>
  <c r="N3" i="1"/>
  <c r="M3" i="1"/>
  <c r="D31" i="1"/>
  <c r="N15" i="1" l="1"/>
  <c r="E31" i="1"/>
  <c r="H24" i="1"/>
  <c r="H66" i="1"/>
  <c r="J71" i="1"/>
  <c r="E30" i="1"/>
  <c r="E51" i="1"/>
  <c r="F25" i="1"/>
  <c r="F34" i="1" s="1"/>
  <c r="F65" i="1"/>
  <c r="F59" i="1" s="1"/>
  <c r="F33" i="1"/>
  <c r="G65" i="1"/>
  <c r="G59" i="1" s="1"/>
  <c r="F26" i="1"/>
  <c r="F40" i="1"/>
  <c r="F28" i="1"/>
  <c r="F29" i="1" s="1"/>
  <c r="E29" i="1"/>
  <c r="E32" i="1" l="1"/>
  <c r="E37" i="1" s="1"/>
  <c r="E54" i="1" s="1"/>
  <c r="I14" i="1" s="1"/>
  <c r="F50" i="1"/>
  <c r="F48" i="1"/>
  <c r="F47" i="1"/>
  <c r="F43" i="1"/>
  <c r="I24" i="1"/>
  <c r="I65" i="1" s="1"/>
  <c r="I59" i="1" s="1"/>
  <c r="I66" i="1"/>
  <c r="H65" i="1"/>
  <c r="H59" i="1" s="1"/>
  <c r="F39" i="1"/>
  <c r="F45" i="1"/>
  <c r="F49" i="1"/>
  <c r="F46" i="1"/>
  <c r="G25" i="1"/>
  <c r="G28" i="1" s="1"/>
  <c r="F42" i="1"/>
  <c r="F41" i="1"/>
  <c r="H73" i="1"/>
  <c r="F30" i="1"/>
  <c r="F44" i="1"/>
  <c r="G26" i="1"/>
  <c r="G40" i="1" s="1"/>
  <c r="F36" i="1"/>
  <c r="G36" i="1" s="1"/>
  <c r="F35" i="1"/>
  <c r="G35" i="1" s="1"/>
  <c r="K71" i="1"/>
  <c r="F31" i="1"/>
  <c r="E52" i="1" l="1"/>
  <c r="E58" i="1"/>
  <c r="E60" i="1" s="1"/>
  <c r="I15" i="1"/>
  <c r="I16" i="1" s="1"/>
  <c r="E63" i="1"/>
  <c r="E11" i="1"/>
  <c r="E8" i="1" s="1"/>
  <c r="D8" i="1" s="1"/>
  <c r="H26" i="1"/>
  <c r="H40" i="1" s="1"/>
  <c r="I40" i="1" s="1"/>
  <c r="H25" i="1"/>
  <c r="H28" i="1" s="1"/>
  <c r="H36" i="1"/>
  <c r="F32" i="1"/>
  <c r="F37" i="1" s="1"/>
  <c r="L71" i="1"/>
  <c r="I73" i="1"/>
  <c r="G43" i="1"/>
  <c r="H43" i="1" s="1"/>
  <c r="G47" i="1"/>
  <c r="H47" i="1" s="1"/>
  <c r="G50" i="1"/>
  <c r="H50" i="1" s="1"/>
  <c r="G45" i="1"/>
  <c r="H45" i="1" s="1"/>
  <c r="F51" i="1"/>
  <c r="G39" i="1"/>
  <c r="J24" i="1"/>
  <c r="I25" i="1"/>
  <c r="J65" i="1"/>
  <c r="J59" i="1" s="1"/>
  <c r="J66" i="1"/>
  <c r="I26" i="1"/>
  <c r="I45" i="1" s="1"/>
  <c r="I36" i="1"/>
  <c r="G44" i="1"/>
  <c r="H44" i="1" s="1"/>
  <c r="I44" i="1" s="1"/>
  <c r="G41" i="1"/>
  <c r="H41" i="1" s="1"/>
  <c r="G42" i="1"/>
  <c r="H42" i="1" s="1"/>
  <c r="I42" i="1" s="1"/>
  <c r="G48" i="1"/>
  <c r="H48" i="1" s="1"/>
  <c r="G49" i="1"/>
  <c r="H49" i="1" s="1"/>
  <c r="I18" i="1"/>
  <c r="G30" i="1"/>
  <c r="G29" i="1"/>
  <c r="G31" i="1"/>
  <c r="G46" i="1"/>
  <c r="H46" i="1" s="1"/>
  <c r="G34" i="1"/>
  <c r="H34" i="1" s="1"/>
  <c r="G33" i="1"/>
  <c r="H33" i="1" s="1"/>
  <c r="D73" i="1" l="1"/>
  <c r="N13" i="1"/>
  <c r="N14" i="1"/>
  <c r="H31" i="1"/>
  <c r="H29" i="1"/>
  <c r="H30" i="1"/>
  <c r="I47" i="1"/>
  <c r="I33" i="1"/>
  <c r="I34" i="1"/>
  <c r="I46" i="1"/>
  <c r="I28" i="1"/>
  <c r="J28" i="1" s="1"/>
  <c r="I50" i="1"/>
  <c r="H35" i="1"/>
  <c r="I35" i="1" s="1"/>
  <c r="F52" i="1"/>
  <c r="G32" i="1"/>
  <c r="G37" i="1" s="1"/>
  <c r="I30" i="1"/>
  <c r="I31" i="1"/>
  <c r="I43" i="1"/>
  <c r="I48" i="1"/>
  <c r="I41" i="1"/>
  <c r="K24" i="1"/>
  <c r="J25" i="1"/>
  <c r="J33" i="1" s="1"/>
  <c r="J26" i="1"/>
  <c r="J45" i="1" s="1"/>
  <c r="J34" i="1"/>
  <c r="J46" i="1"/>
  <c r="J40" i="1"/>
  <c r="J44" i="1"/>
  <c r="J50" i="1"/>
  <c r="J36" i="1"/>
  <c r="J43" i="1"/>
  <c r="J47" i="1"/>
  <c r="J42" i="1"/>
  <c r="J73" i="1"/>
  <c r="I49" i="1"/>
  <c r="G51" i="1"/>
  <c r="H39" i="1"/>
  <c r="I17" i="1"/>
  <c r="I19" i="1"/>
  <c r="I21" i="1" s="1"/>
  <c r="I22" i="1"/>
  <c r="J20" i="1" s="1"/>
  <c r="L93" i="1"/>
  <c r="L92" i="1" s="1"/>
  <c r="M71" i="1"/>
  <c r="F54" i="1"/>
  <c r="I29" i="1" l="1"/>
  <c r="I32" i="1" s="1"/>
  <c r="I37" i="1" s="1"/>
  <c r="H32" i="1"/>
  <c r="H37" i="1" s="1"/>
  <c r="G52" i="1"/>
  <c r="N8" i="1"/>
  <c r="D66" i="1"/>
  <c r="J29" i="1"/>
  <c r="J30" i="1"/>
  <c r="J31" i="1"/>
  <c r="L24" i="1"/>
  <c r="L66" i="1"/>
  <c r="L65" i="1"/>
  <c r="L59" i="1" s="1"/>
  <c r="K26" i="1"/>
  <c r="K42" i="1" s="1"/>
  <c r="K50" i="1"/>
  <c r="K45" i="1"/>
  <c r="K25" i="1"/>
  <c r="K34" i="1" s="1"/>
  <c r="K44" i="1"/>
  <c r="K43" i="1"/>
  <c r="K47" i="1"/>
  <c r="K40" i="1"/>
  <c r="K28" i="1"/>
  <c r="K46" i="1"/>
  <c r="J49" i="1"/>
  <c r="K49" i="1" s="1"/>
  <c r="J48" i="1"/>
  <c r="K48" i="1" s="1"/>
  <c r="F63" i="1"/>
  <c r="F58" i="1"/>
  <c r="F60" i="1" s="1"/>
  <c r="J41" i="1"/>
  <c r="J35" i="1"/>
  <c r="K35" i="1" s="1"/>
  <c r="M93" i="1"/>
  <c r="M92" i="1" s="1"/>
  <c r="N71" i="1"/>
  <c r="H51" i="1"/>
  <c r="I39" i="1"/>
  <c r="G54" i="1"/>
  <c r="J32" i="1" l="1"/>
  <c r="J37" i="1" s="1"/>
  <c r="K29" i="1"/>
  <c r="K30" i="1"/>
  <c r="K31" i="1"/>
  <c r="K36" i="1"/>
  <c r="K41" i="1"/>
  <c r="J14" i="1"/>
  <c r="G63" i="1"/>
  <c r="G58" i="1"/>
  <c r="G60" i="1" s="1"/>
  <c r="J15" i="1"/>
  <c r="K33" i="1"/>
  <c r="I51" i="1"/>
  <c r="J39" i="1"/>
  <c r="H52" i="1"/>
  <c r="H54" i="1"/>
  <c r="M24" i="1"/>
  <c r="L39" i="1"/>
  <c r="M66" i="1"/>
  <c r="L42" i="1"/>
  <c r="L49" i="1"/>
  <c r="L41" i="1"/>
  <c r="L48" i="1"/>
  <c r="L36" i="1"/>
  <c r="L44" i="1"/>
  <c r="L26" i="1"/>
  <c r="L50" i="1"/>
  <c r="L46" i="1"/>
  <c r="L33" i="1"/>
  <c r="L45" i="1"/>
  <c r="L25" i="1"/>
  <c r="L64" i="1"/>
  <c r="L40" i="1"/>
  <c r="L43" i="1"/>
  <c r="L35" i="1"/>
  <c r="L47" i="1"/>
  <c r="L34" i="1"/>
  <c r="L28" i="1"/>
  <c r="L73" i="1"/>
  <c r="N93" i="1"/>
  <c r="N92" i="1" s="1"/>
  <c r="K32" i="1" l="1"/>
  <c r="K37" i="1" s="1"/>
  <c r="L51" i="1"/>
  <c r="J51" i="1"/>
  <c r="K39" i="1"/>
  <c r="K51" i="1" s="1"/>
  <c r="H63" i="1"/>
  <c r="H58" i="1"/>
  <c r="H60" i="1" s="1"/>
  <c r="I52" i="1"/>
  <c r="I54" i="1"/>
  <c r="L29" i="1"/>
  <c r="L30" i="1"/>
  <c r="L31" i="1"/>
  <c r="M39" i="1"/>
  <c r="M42" i="1"/>
  <c r="M45" i="1"/>
  <c r="M48" i="1"/>
  <c r="M36" i="1"/>
  <c r="N24" i="1"/>
  <c r="N66" i="1" s="1"/>
  <c r="M41" i="1"/>
  <c r="M44" i="1"/>
  <c r="M46" i="1"/>
  <c r="M50" i="1"/>
  <c r="M25" i="1"/>
  <c r="M28" i="1"/>
  <c r="M43" i="1"/>
  <c r="M49" i="1"/>
  <c r="M40" i="1"/>
  <c r="M26" i="1"/>
  <c r="M34" i="1"/>
  <c r="M33" i="1"/>
  <c r="M35" i="1"/>
  <c r="M47" i="1"/>
  <c r="M64" i="1"/>
  <c r="M73" i="1"/>
  <c r="J16" i="1"/>
  <c r="M65" i="1"/>
  <c r="M59" i="1" s="1"/>
  <c r="L32" i="1" l="1"/>
  <c r="L37" i="1" s="1"/>
  <c r="L54" i="1" s="1"/>
  <c r="L63" i="1" s="1"/>
  <c r="K52" i="1"/>
  <c r="M29" i="1"/>
  <c r="M30" i="1"/>
  <c r="M31" i="1"/>
  <c r="J17" i="1"/>
  <c r="J19" i="1"/>
  <c r="J21" i="1" s="1"/>
  <c r="J18" i="1"/>
  <c r="I58" i="1"/>
  <c r="I60" i="1" s="1"/>
  <c r="I63" i="1"/>
  <c r="N42" i="1"/>
  <c r="N45" i="1"/>
  <c r="N28" i="1"/>
  <c r="N41" i="1"/>
  <c r="N48" i="1"/>
  <c r="N36" i="1"/>
  <c r="N44" i="1"/>
  <c r="N50" i="1"/>
  <c r="N46" i="1"/>
  <c r="N26" i="1"/>
  <c r="N39" i="1"/>
  <c r="N43" i="1"/>
  <c r="N35" i="1"/>
  <c r="N25" i="1"/>
  <c r="N49" i="1"/>
  <c r="N34" i="1"/>
  <c r="N64" i="1"/>
  <c r="N33" i="1"/>
  <c r="N47" i="1"/>
  <c r="N40" i="1"/>
  <c r="M51" i="1"/>
  <c r="N65" i="1"/>
  <c r="N59" i="1" s="1"/>
  <c r="J52" i="1"/>
  <c r="J54" i="1"/>
  <c r="K54" i="1"/>
  <c r="N73" i="1"/>
  <c r="L52" i="1" l="1"/>
  <c r="L58" i="1"/>
  <c r="L60" i="1" s="1"/>
  <c r="M32" i="1"/>
  <c r="M37" i="1" s="1"/>
  <c r="M54" i="1" s="1"/>
  <c r="G66" i="1"/>
  <c r="G73" i="1"/>
  <c r="M63" i="1"/>
  <c r="M58" i="1"/>
  <c r="M60" i="1" s="1"/>
  <c r="J22" i="1"/>
  <c r="K66" i="1" s="1"/>
  <c r="J64" i="1"/>
  <c r="I64" i="1"/>
  <c r="I74" i="1" s="1"/>
  <c r="K64" i="1"/>
  <c r="K58" i="1"/>
  <c r="K63" i="1"/>
  <c r="K65" i="1"/>
  <c r="J63" i="1"/>
  <c r="J58" i="1"/>
  <c r="J60" i="1" s="1"/>
  <c r="N51" i="1"/>
  <c r="N29" i="1"/>
  <c r="N30" i="1"/>
  <c r="N31" i="1"/>
  <c r="G64" i="1"/>
  <c r="H64" i="1"/>
  <c r="E64" i="1"/>
  <c r="F64" i="1"/>
  <c r="L74" i="1"/>
  <c r="L68" i="1"/>
  <c r="L67" i="1"/>
  <c r="L72" i="1" s="1"/>
  <c r="L75" i="1" l="1"/>
  <c r="L88" i="1" s="1"/>
  <c r="M52" i="1"/>
  <c r="I67" i="1"/>
  <c r="I72" i="1" s="1"/>
  <c r="I75" i="1" s="1"/>
  <c r="I68" i="1"/>
  <c r="N32" i="1"/>
  <c r="N37" i="1" s="1"/>
  <c r="N54" i="1" s="1"/>
  <c r="N63" i="1" s="1"/>
  <c r="G74" i="1"/>
  <c r="G67" i="1"/>
  <c r="G72" i="1" s="1"/>
  <c r="G75" i="1" s="1"/>
  <c r="G68" i="1"/>
  <c r="F67" i="1"/>
  <c r="F72" i="1" s="1"/>
  <c r="F68" i="1"/>
  <c r="F74" i="1"/>
  <c r="H68" i="1"/>
  <c r="H74" i="1"/>
  <c r="H67" i="1"/>
  <c r="H72" i="1" s="1"/>
  <c r="J74" i="1"/>
  <c r="J68" i="1"/>
  <c r="J67" i="1"/>
  <c r="J72" i="1" s="1"/>
  <c r="M74" i="1"/>
  <c r="M68" i="1"/>
  <c r="M67" i="1"/>
  <c r="M72" i="1" s="1"/>
  <c r="E67" i="1"/>
  <c r="E72" i="1" s="1"/>
  <c r="E74" i="1"/>
  <c r="E68" i="1"/>
  <c r="I88" i="1"/>
  <c r="K59" i="1"/>
  <c r="K60" i="1" s="1"/>
  <c r="K73" i="1"/>
  <c r="N16" i="1" s="1"/>
  <c r="N18" i="1" s="1"/>
  <c r="K74" i="1"/>
  <c r="K68" i="1"/>
  <c r="K67" i="1"/>
  <c r="K72" i="1" s="1"/>
  <c r="M75" i="1" l="1"/>
  <c r="H75" i="1"/>
  <c r="N52" i="1"/>
  <c r="N58" i="1"/>
  <c r="N60" i="1" s="1"/>
  <c r="E75" i="1"/>
  <c r="E88" i="1" s="1"/>
  <c r="J75" i="1"/>
  <c r="J88" i="1" s="1"/>
  <c r="D59" i="1"/>
  <c r="N9" i="1"/>
  <c r="N11" i="1" s="1"/>
  <c r="M88" i="1"/>
  <c r="G88" i="1"/>
  <c r="H88" i="1"/>
  <c r="F75" i="1"/>
  <c r="K75" i="1"/>
  <c r="N74" i="1"/>
  <c r="N17" i="1" s="1"/>
  <c r="N68" i="1"/>
  <c r="N67" i="1"/>
  <c r="N72" i="1" s="1"/>
  <c r="N75" i="1" l="1"/>
  <c r="N88" i="1" s="1"/>
  <c r="F88" i="1"/>
  <c r="K88" i="1"/>
  <c r="D65" i="1"/>
  <c r="D67" i="1" s="1"/>
  <c r="D60" i="1"/>
  <c r="L3" i="1" l="1"/>
  <c r="K3" i="1"/>
  <c r="D72" i="1"/>
  <c r="D75" i="1" s="1"/>
  <c r="L4" i="1"/>
  <c r="K4" i="1"/>
  <c r="D98" i="1" l="1"/>
  <c r="D88" i="1"/>
  <c r="E87" i="1"/>
  <c r="E93" i="1"/>
  <c r="D97" i="1"/>
  <c r="D99" i="1" l="1"/>
  <c r="E89" i="1"/>
  <c r="E90" i="1"/>
  <c r="E91" i="1" l="1"/>
  <c r="F87" i="1" s="1"/>
  <c r="E92" i="1"/>
  <c r="F93" i="1" l="1"/>
  <c r="E94" i="1"/>
  <c r="E95" i="1"/>
  <c r="E98" i="1" s="1"/>
  <c r="F89" i="1"/>
  <c r="F90" i="1"/>
  <c r="E97" i="1"/>
  <c r="E99" i="1" l="1"/>
  <c r="F91" i="1"/>
  <c r="G87" i="1" s="1"/>
  <c r="F92" i="1"/>
  <c r="G93" i="1" l="1"/>
  <c r="F95" i="1"/>
  <c r="F98" i="1" s="1"/>
  <c r="F94" i="1"/>
  <c r="F97" i="1" s="1"/>
  <c r="G89" i="1"/>
  <c r="G90" i="1"/>
  <c r="F99" i="1" l="1"/>
  <c r="G91" i="1"/>
  <c r="H87" i="1" s="1"/>
  <c r="G92" i="1"/>
  <c r="G95" i="1" l="1"/>
  <c r="G98" i="1" s="1"/>
  <c r="G94" i="1"/>
  <c r="G97" i="1" s="1"/>
  <c r="H90" i="1"/>
  <c r="H89" i="1"/>
  <c r="H93" i="1"/>
  <c r="G99" i="1" l="1"/>
  <c r="H92" i="1"/>
  <c r="H91" i="1"/>
  <c r="I87" i="1" s="1"/>
  <c r="I93" i="1" l="1"/>
  <c r="I90" i="1"/>
  <c r="I89" i="1"/>
  <c r="H95" i="1"/>
  <c r="H98" i="1" s="1"/>
  <c r="H94" i="1"/>
  <c r="H97" i="1" s="1"/>
  <c r="H99" i="1" l="1"/>
  <c r="I91" i="1"/>
  <c r="J87" i="1" s="1"/>
  <c r="I92" i="1"/>
  <c r="I94" i="1" l="1"/>
  <c r="I97" i="1" s="1"/>
  <c r="I95" i="1"/>
  <c r="I98" i="1" s="1"/>
  <c r="J93" i="1"/>
  <c r="J90" i="1"/>
  <c r="J89" i="1"/>
  <c r="J91" i="1" l="1"/>
  <c r="K87" i="1" s="1"/>
  <c r="J92" i="1"/>
  <c r="I99" i="1"/>
  <c r="K93" i="1" l="1"/>
  <c r="J95" i="1"/>
  <c r="J98" i="1" s="1"/>
  <c r="J94" i="1"/>
  <c r="J97" i="1" s="1"/>
  <c r="K90" i="1"/>
  <c r="K89" i="1"/>
  <c r="J99" i="1" l="1"/>
  <c r="K91" i="1"/>
  <c r="L87" i="1" s="1"/>
  <c r="K92" i="1"/>
  <c r="K94" i="1" l="1"/>
  <c r="K95" i="1"/>
  <c r="K98" i="1" s="1"/>
  <c r="L90" i="1"/>
  <c r="L89" i="1"/>
  <c r="K97" i="1"/>
  <c r="K99" i="1" l="1"/>
  <c r="L91" i="1"/>
  <c r="L94" i="1" l="1"/>
  <c r="L95" i="1"/>
  <c r="L98" i="1" s="1"/>
  <c r="M87" i="1"/>
  <c r="L97" i="1"/>
  <c r="L99" i="1" l="1"/>
  <c r="M90" i="1"/>
  <c r="M89" i="1"/>
  <c r="M91" i="1" l="1"/>
  <c r="M94" i="1" l="1"/>
  <c r="M95" i="1"/>
  <c r="M98" i="1" s="1"/>
  <c r="N87" i="1"/>
  <c r="M97" i="1"/>
  <c r="M99" i="1" s="1"/>
  <c r="N90" i="1" l="1"/>
  <c r="N89" i="1"/>
  <c r="N91" i="1" l="1"/>
  <c r="N94" i="1" l="1"/>
  <c r="N95" i="1"/>
  <c r="N98" i="1" s="1"/>
  <c r="N97" i="1"/>
  <c r="N99" i="1" l="1"/>
  <c r="N4" i="1"/>
  <c r="M4" i="1"/>
</calcChain>
</file>

<file path=xl/sharedStrings.xml><?xml version="1.0" encoding="utf-8"?>
<sst xmlns="http://schemas.openxmlformats.org/spreadsheetml/2006/main" count="137" uniqueCount="120">
  <si>
    <t>Project EM</t>
  </si>
  <si>
    <t>Project IRR</t>
  </si>
  <si>
    <t>LP EM</t>
  </si>
  <si>
    <t>LP IRR</t>
  </si>
  <si>
    <t>Unleveraged</t>
  </si>
  <si>
    <t>Pro Forma Cash Flow Model</t>
  </si>
  <si>
    <t>Leveraged</t>
  </si>
  <si>
    <t>Deal Assumptions</t>
  </si>
  <si>
    <t>Financing Assumptions</t>
  </si>
  <si>
    <t>Financing</t>
  </si>
  <si>
    <t>Refi Loan</t>
  </si>
  <si>
    <t>Sources</t>
  </si>
  <si>
    <t>Per Unit</t>
  </si>
  <si>
    <t>Total</t>
  </si>
  <si>
    <t>Purchase Price</t>
  </si>
  <si>
    <t>Interest Rate</t>
  </si>
  <si>
    <t>Going-in Cap Rate</t>
  </si>
  <si>
    <t>Amortization</t>
  </si>
  <si>
    <t>Equity</t>
  </si>
  <si>
    <t>Property Value</t>
  </si>
  <si>
    <t>IO Period (months)</t>
  </si>
  <si>
    <t>Other</t>
  </si>
  <si>
    <t>Exit Cap Rate</t>
  </si>
  <si>
    <t>Loan Term (years)</t>
  </si>
  <si>
    <t>Total Sources</t>
  </si>
  <si>
    <t>Closing Costs</t>
  </si>
  <si>
    <t>LTV</t>
  </si>
  <si>
    <t>Uses</t>
  </si>
  <si>
    <t>Capital Improvement Assumptions</t>
  </si>
  <si>
    <t>DSCR</t>
  </si>
  <si>
    <t>Acquisition</t>
  </si>
  <si>
    <t>Cost Per Unit (zero values for no reno)</t>
  </si>
  <si>
    <t>Loan Amount by LTV</t>
  </si>
  <si>
    <t>Post-Renovation Premiums (per unit)</t>
  </si>
  <si>
    <t>Loan Amount by DSCR</t>
  </si>
  <si>
    <t>Percent of Units to be Renovated</t>
  </si>
  <si>
    <t>Loan Amount</t>
  </si>
  <si>
    <t>Construction + Leasing Timeline (months)</t>
  </si>
  <si>
    <t>Debt Service (IO period)</t>
  </si>
  <si>
    <t>Total Uses</t>
  </si>
  <si>
    <t>Debt Service (after IO)</t>
  </si>
  <si>
    <t>Sale Year</t>
  </si>
  <si>
    <t>Financing Costs</t>
  </si>
  <si>
    <t>Prepay Penalty</t>
  </si>
  <si>
    <t>Net Proceeds</t>
  </si>
  <si>
    <t>Balloon PMT</t>
  </si>
  <si>
    <t>Financial Model</t>
  </si>
  <si>
    <t>Year</t>
  </si>
  <si>
    <t>Rent Growth Rate</t>
  </si>
  <si>
    <t>Expense Growth Rate</t>
  </si>
  <si>
    <t>Income</t>
  </si>
  <si>
    <t>Gross Potential Rent (GPR)</t>
  </si>
  <si>
    <t>Vacancy Loss</t>
  </si>
  <si>
    <t>Bad Debt</t>
  </si>
  <si>
    <t>Concessions</t>
  </si>
  <si>
    <t>Base Rental Revenue</t>
  </si>
  <si>
    <t>Parking Income</t>
  </si>
  <si>
    <t>Other Income</t>
  </si>
  <si>
    <t>Effective Gross Income (EGI)</t>
  </si>
  <si>
    <t>Expenses</t>
  </si>
  <si>
    <t>Real Estate Taxes</t>
  </si>
  <si>
    <t>Property Insurance</t>
  </si>
  <si>
    <t>Utilities</t>
  </si>
  <si>
    <t>Repair and Maintenance</t>
  </si>
  <si>
    <t>Management Fees</t>
  </si>
  <si>
    <t>Payroll and Benefits</t>
  </si>
  <si>
    <t>Marketing</t>
  </si>
  <si>
    <t>Professional Fees</t>
  </si>
  <si>
    <t>General and Administrative</t>
  </si>
  <si>
    <t>Other Expenses</t>
  </si>
  <si>
    <t>Total Operating Expenses</t>
  </si>
  <si>
    <t>Opex Ratio</t>
  </si>
  <si>
    <t>Net Operating Income (NOI)</t>
  </si>
  <si>
    <t>Cash Flow Analysis</t>
  </si>
  <si>
    <t>Unleveraged Cash Flow</t>
  </si>
  <si>
    <t>NOI</t>
  </si>
  <si>
    <t>Acquisition / Disposition</t>
  </si>
  <si>
    <t>Net Cash Flow</t>
  </si>
  <si>
    <t>Leveraged Cash Flow</t>
  </si>
  <si>
    <t>Debt Service</t>
  </si>
  <si>
    <t>Financing / Loan Repayment</t>
  </si>
  <si>
    <t>Investor Waterfall</t>
  </si>
  <si>
    <t>Partnership Cash Flow</t>
  </si>
  <si>
    <t>Cash Flow</t>
  </si>
  <si>
    <t>Capital Transaction Fees</t>
  </si>
  <si>
    <t>Asset Management Fees</t>
  </si>
  <si>
    <t>Waterfall Structure</t>
  </si>
  <si>
    <t>Sponsor</t>
  </si>
  <si>
    <t>Investors</t>
  </si>
  <si>
    <t>Model</t>
  </si>
  <si>
    <t>Summary</t>
  </si>
  <si>
    <t>Initial Investment</t>
  </si>
  <si>
    <t>American</t>
  </si>
  <si>
    <t>Preferred Return (set to zero for no pref)</t>
  </si>
  <si>
    <t>Pari Passu</t>
  </si>
  <si>
    <t>No</t>
  </si>
  <si>
    <t>Sponsor Catchup</t>
  </si>
  <si>
    <t>Hurdle Rate</t>
  </si>
  <si>
    <t>Split 1</t>
  </si>
  <si>
    <t>Split 2</t>
  </si>
  <si>
    <t>Waterfall Model</t>
  </si>
  <si>
    <t>Preferred Return - GP</t>
  </si>
  <si>
    <t>Split 1 - LP</t>
  </si>
  <si>
    <t>Split 1 - GP</t>
  </si>
  <si>
    <t>Total Needed to Hit Hurdle Rate</t>
  </si>
  <si>
    <t>Split 2 - LP</t>
  </si>
  <si>
    <t>Split 2 - GP</t>
  </si>
  <si>
    <t>Cash Flow Summary</t>
  </si>
  <si>
    <t>Investor Cash Flow</t>
  </si>
  <si>
    <t>Sponsor Cash Flow</t>
  </si>
  <si>
    <t>Total Cash Flow</t>
  </si>
  <si>
    <t>Property Name</t>
  </si>
  <si>
    <t>Renovation Costs</t>
  </si>
  <si>
    <t>Capital Fees</t>
  </si>
  <si>
    <t>Asset Mgmt Fees</t>
  </si>
  <si>
    <t>Cash-Out Refinance in Month</t>
  </si>
  <si>
    <t>Yes</t>
  </si>
  <si>
    <t>Capital Account Balance</t>
  </si>
  <si>
    <t>Current GPR</t>
  </si>
  <si>
    <t>#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</si>
</sst>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164" formatCode="0.00&quot;x&quot;"/>
    <numFmt numFmtId="165" formatCode="&quot;$&quot;#,###&quot; / unit&quot;"/>
    <numFmt numFmtId="166" formatCode="&quot;$&quot;#,##0"/>
    <numFmt numFmtId="167" formatCode="0.0%"/>
    <numFmt numFmtId="168" formatCode="&quot;Year &quot;0"/>
    <numFmt numFmtId="169" formatCode="&quot;$&quot;#,##0.00"/>
    <numFmt numFmtId="170" formatCode="0.000%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ptos"/>
      <family val="2"/>
    </font>
    <font>
      <sz val="11"/>
      <color theme="1"/>
      <name val="Aptos"/>
      <family val="2"/>
    </font>
    <font>
      <b/>
      <sz val="16"/>
      <color rgb="FF4438CA"/>
      <name val="Aptos"/>
      <family val="2"/>
    </font>
    <font>
      <b/>
      <sz val="10"/>
      <color theme="0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b/>
      <sz val="10"/>
      <color rgb="FF0070C0"/>
      <name val="Aptos"/>
      <family val="2"/>
    </font>
    <font>
      <b/>
      <sz val="10"/>
      <name val="Aptos"/>
      <family val="2"/>
    </font>
    <font>
      <b/>
      <sz val="14"/>
      <color rgb="FF4438CA"/>
      <name val="Aptos"/>
      <family val="2"/>
    </font>
    <font>
      <i/>
      <sz val="10"/>
      <name val="Aptos"/>
      <family val="2"/>
    </font>
    <font>
      <sz val="10"/>
      <color rgb="FF394B61"/>
      <name val="Aptos"/>
      <family val="2"/>
    </font>
    <font>
      <b/>
      <i/>
      <sz val="10"/>
      <name val="Aptos"/>
      <family val="2"/>
    </font>
    <font>
      <b/>
      <sz val="14"/>
      <name val="Aptos"/>
      <family val="2"/>
    </font>
    <font>
      <sz val="10"/>
      <color indexed="12"/>
      <name val="Aptos"/>
      <family val="2"/>
    </font>
    <font>
      <b/>
      <u/>
      <sz val="10"/>
      <color theme="1"/>
      <name val="Aptos"/>
      <family val="2"/>
    </font>
    <font>
      <i/>
      <sz val="8"/>
      <color theme="1"/>
      <name val="Aptos"/>
      <family val="2"/>
    </font>
    <font>
      <sz val="8"/>
      <color theme="1"/>
      <name val="Aptos"/>
      <family val="2"/>
    </font>
    <font>
      <u/>
      <sz val="11"/>
      <color theme="1"/>
      <name val="Aptos"/>
      <family val="2"/>
    </font>
    <font>
      <u/>
      <sz val="10"/>
      <color theme="1"/>
      <name val="Aptos"/>
      <family val="2"/>
    </font>
    <font>
      <u/>
      <sz val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4438C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5FB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6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right"/>
    </xf>
    <xf numFmtId="164" fontId="8" fillId="0" borderId="2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6" fillId="3" borderId="4" xfId="1" applyNumberFormat="1" applyFont="1" applyFill="1" applyBorder="1" applyAlignment="1">
      <alignment horizontal="left" vertical="center"/>
    </xf>
    <xf numFmtId="3" fontId="6" fillId="3" borderId="5" xfId="1" applyNumberFormat="1" applyFont="1" applyFill="1" applyBorder="1" applyAlignment="1">
      <alignment horizontal="right" vertical="center"/>
    </xf>
    <xf numFmtId="3" fontId="6" fillId="3" borderId="6" xfId="1" applyNumberFormat="1" applyFont="1" applyFill="1" applyBorder="1" applyAlignment="1">
      <alignment horizontal="right" vertical="center"/>
    </xf>
    <xf numFmtId="3" fontId="6" fillId="3" borderId="7" xfId="1" applyNumberFormat="1" applyFont="1" applyFill="1" applyBorder="1" applyAlignment="1">
      <alignment horizontal="left" vertical="center"/>
    </xf>
    <xf numFmtId="3" fontId="6" fillId="3" borderId="8" xfId="1" applyNumberFormat="1" applyFont="1" applyFill="1" applyBorder="1" applyAlignment="1">
      <alignment horizontal="center" vertical="center"/>
    </xf>
    <xf numFmtId="3" fontId="6" fillId="3" borderId="7" xfId="1" applyNumberFormat="1" applyFont="1" applyFill="1" applyBorder="1" applyAlignment="1">
      <alignment horizontal="right" vertical="center"/>
    </xf>
    <xf numFmtId="3" fontId="6" fillId="3" borderId="2" xfId="1" applyNumberFormat="1" applyFont="1" applyFill="1" applyBorder="1" applyAlignment="1">
      <alignment horizontal="right" vertical="center"/>
    </xf>
    <xf numFmtId="3" fontId="6" fillId="3" borderId="5" xfId="1" applyNumberFormat="1" applyFont="1" applyFill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center" vertical="center"/>
    </xf>
    <xf numFmtId="0" fontId="8" fillId="4" borderId="9" xfId="2" applyFont="1" applyFill="1" applyBorder="1" applyAlignment="1">
      <alignment horizontal="left" vertical="center"/>
    </xf>
    <xf numFmtId="166" fontId="9" fillId="4" borderId="10" xfId="2" applyNumberFormat="1" applyFont="1" applyFill="1" applyBorder="1" applyAlignment="1">
      <alignment horizontal="right" vertical="center"/>
    </xf>
    <xf numFmtId="10" fontId="9" fillId="4" borderId="0" xfId="2" applyNumberFormat="1" applyFont="1" applyFill="1" applyAlignment="1">
      <alignment horizontal="center" vertical="center"/>
    </xf>
    <xf numFmtId="10" fontId="9" fillId="4" borderId="0" xfId="2" applyNumberFormat="1" applyFont="1" applyFill="1" applyAlignment="1">
      <alignment horizontal="right" vertical="center"/>
    </xf>
    <xf numFmtId="10" fontId="9" fillId="4" borderId="10" xfId="2" applyNumberFormat="1" applyFont="1" applyFill="1" applyBorder="1" applyAlignment="1">
      <alignment horizontal="right" vertical="center"/>
    </xf>
    <xf numFmtId="0" fontId="3" fillId="0" borderId="9" xfId="0" applyFont="1" applyBorder="1"/>
    <xf numFmtId="166" fontId="3" fillId="0" borderId="10" xfId="0" applyNumberFormat="1" applyFont="1" applyBorder="1"/>
    <xf numFmtId="165" fontId="8" fillId="4" borderId="0" xfId="0" applyNumberFormat="1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center" vertical="center"/>
    </xf>
    <xf numFmtId="3" fontId="9" fillId="5" borderId="0" xfId="0" applyNumberFormat="1" applyFont="1" applyFill="1" applyAlignment="1">
      <alignment horizontal="right" vertical="center"/>
    </xf>
    <xf numFmtId="3" fontId="9" fillId="5" borderId="10" xfId="0" applyNumberFormat="1" applyFont="1" applyFill="1" applyBorder="1" applyAlignment="1">
      <alignment horizontal="right" vertical="center"/>
    </xf>
    <xf numFmtId="166" fontId="9" fillId="4" borderId="0" xfId="2" applyNumberFormat="1" applyFont="1" applyFill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0" fontId="9" fillId="0" borderId="11" xfId="0" applyFont="1" applyBorder="1"/>
    <xf numFmtId="0" fontId="9" fillId="0" borderId="12" xfId="0" applyFont="1" applyBorder="1"/>
    <xf numFmtId="0" fontId="9" fillId="0" borderId="1" xfId="0" applyFont="1" applyBorder="1"/>
    <xf numFmtId="0" fontId="8" fillId="4" borderId="11" xfId="2" applyFont="1" applyFill="1" applyBorder="1" applyAlignment="1">
      <alignment horizontal="left" vertical="center"/>
    </xf>
    <xf numFmtId="3" fontId="9" fillId="5" borderId="12" xfId="0" applyNumberFormat="1" applyFont="1" applyFill="1" applyBorder="1" applyAlignment="1">
      <alignment horizontal="center" vertical="center"/>
    </xf>
    <xf numFmtId="3" fontId="9" fillId="5" borderId="12" xfId="0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horizontal="right" vertical="center"/>
    </xf>
    <xf numFmtId="0" fontId="7" fillId="0" borderId="9" xfId="0" applyFont="1" applyBorder="1"/>
    <xf numFmtId="0" fontId="7" fillId="0" borderId="0" xfId="0" applyFont="1"/>
    <xf numFmtId="166" fontId="7" fillId="0" borderId="10" xfId="0" applyNumberFormat="1" applyFont="1" applyBorder="1"/>
    <xf numFmtId="167" fontId="9" fillId="5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right" vertical="center"/>
    </xf>
    <xf numFmtId="167" fontId="9" fillId="5" borderId="10" xfId="0" applyNumberFormat="1" applyFont="1" applyFill="1" applyBorder="1" applyAlignment="1">
      <alignment horizontal="right" vertical="center"/>
    </xf>
    <xf numFmtId="3" fontId="6" fillId="3" borderId="9" xfId="1" applyNumberFormat="1" applyFont="1" applyFill="1" applyBorder="1" applyAlignment="1">
      <alignment horizontal="left" vertical="center"/>
    </xf>
    <xf numFmtId="3" fontId="6" fillId="3" borderId="0" xfId="1" applyNumberFormat="1" applyFont="1" applyFill="1" applyAlignment="1">
      <alignment horizontal="center" vertical="center"/>
    </xf>
    <xf numFmtId="3" fontId="6" fillId="3" borderId="10" xfId="1" applyNumberFormat="1" applyFont="1" applyFill="1" applyBorder="1" applyAlignment="1">
      <alignment horizontal="center" vertical="center"/>
    </xf>
    <xf numFmtId="3" fontId="6" fillId="3" borderId="0" xfId="1" applyNumberFormat="1" applyFont="1" applyFill="1" applyAlignment="1">
      <alignment horizontal="right" vertical="center"/>
    </xf>
    <xf numFmtId="3" fontId="6" fillId="3" borderId="1" xfId="1" applyNumberFormat="1" applyFont="1" applyFill="1" applyBorder="1" applyAlignment="1">
      <alignment horizontal="right" vertical="center"/>
    </xf>
    <xf numFmtId="4" fontId="9" fillId="5" borderId="12" xfId="0" applyNumberFormat="1" applyFont="1" applyFill="1" applyBorder="1" applyAlignment="1">
      <alignment horizontal="center" vertical="center"/>
    </xf>
    <xf numFmtId="4" fontId="9" fillId="5" borderId="12" xfId="0" applyNumberFormat="1" applyFont="1" applyFill="1" applyBorder="1" applyAlignment="1">
      <alignment horizontal="right" vertical="center"/>
    </xf>
    <xf numFmtId="4" fontId="9" fillId="5" borderId="1" xfId="0" applyNumberFormat="1" applyFont="1" applyFill="1" applyBorder="1" applyAlignment="1">
      <alignment horizontal="right" vertical="center"/>
    </xf>
    <xf numFmtId="166" fontId="3" fillId="0" borderId="0" xfId="0" applyNumberFormat="1" applyFont="1" applyAlignment="1">
      <alignment horizontal="right"/>
    </xf>
    <xf numFmtId="166" fontId="9" fillId="4" borderId="10" xfId="0" applyNumberFormat="1" applyFont="1" applyFill="1" applyBorder="1" applyAlignment="1">
      <alignment horizontal="right" vertical="center"/>
    </xf>
    <xf numFmtId="3" fontId="8" fillId="5" borderId="0" xfId="0" applyNumberFormat="1" applyFont="1" applyFill="1" applyAlignment="1">
      <alignment horizontal="center" vertical="center"/>
    </xf>
    <xf numFmtId="166" fontId="8" fillId="5" borderId="0" xfId="0" applyNumberFormat="1" applyFont="1" applyFill="1" applyAlignment="1">
      <alignment horizontal="right" vertical="center"/>
    </xf>
    <xf numFmtId="166" fontId="8" fillId="5" borderId="10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3" fontId="8" fillId="0" borderId="12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9" fontId="9" fillId="4" borderId="10" xfId="2" applyNumberFormat="1" applyFont="1" applyFill="1" applyBorder="1" applyAlignment="1">
      <alignment horizontal="right" vertical="center"/>
    </xf>
    <xf numFmtId="0" fontId="10" fillId="4" borderId="7" xfId="2" applyFont="1" applyFill="1" applyBorder="1" applyAlignment="1">
      <alignment horizontal="left" vertical="center"/>
    </xf>
    <xf numFmtId="166" fontId="9" fillId="5" borderId="8" xfId="0" applyNumberFormat="1" applyFont="1" applyFill="1" applyBorder="1" applyAlignment="1">
      <alignment horizontal="center" vertical="center"/>
    </xf>
    <xf numFmtId="166" fontId="9" fillId="5" borderId="8" xfId="0" applyNumberFormat="1" applyFont="1" applyFill="1" applyBorder="1" applyAlignment="1">
      <alignment horizontal="right" vertical="center"/>
    </xf>
    <xf numFmtId="166" fontId="9" fillId="0" borderId="13" xfId="0" applyNumberFormat="1" applyFont="1" applyBorder="1" applyAlignment="1">
      <alignment horizontal="right"/>
    </xf>
    <xf numFmtId="0" fontId="3" fillId="0" borderId="12" xfId="0" applyFont="1" applyBorder="1"/>
    <xf numFmtId="166" fontId="3" fillId="0" borderId="1" xfId="0" applyNumberFormat="1" applyFont="1" applyBorder="1"/>
    <xf numFmtId="0" fontId="3" fillId="0" borderId="12" xfId="0" applyFont="1" applyBorder="1" applyAlignment="1">
      <alignment horizontal="right"/>
    </xf>
    <xf numFmtId="0" fontId="8" fillId="4" borderId="9" xfId="2" applyFont="1" applyFill="1" applyBorder="1" applyAlignment="1">
      <alignment vertical="center"/>
    </xf>
    <xf numFmtId="6" fontId="3" fillId="0" borderId="0" xfId="0" applyNumberFormat="1" applyFont="1" applyAlignment="1">
      <alignment horizontal="center"/>
    </xf>
    <xf numFmtId="166" fontId="3" fillId="0" borderId="10" xfId="0" applyNumberFormat="1" applyFont="1" applyBorder="1" applyAlignment="1">
      <alignment horizontal="right"/>
    </xf>
    <xf numFmtId="0" fontId="7" fillId="0" borderId="11" xfId="0" quotePrefix="1" applyFont="1" applyBorder="1"/>
    <xf numFmtId="0" fontId="7" fillId="0" borderId="12" xfId="0" applyFont="1" applyBorder="1"/>
    <xf numFmtId="166" fontId="7" fillId="0" borderId="1" xfId="0" applyNumberFormat="1" applyFont="1" applyBorder="1"/>
    <xf numFmtId="0" fontId="8" fillId="4" borderId="4" xfId="2" applyFont="1" applyFill="1" applyBorder="1" applyAlignment="1">
      <alignment vertical="center"/>
    </xf>
    <xf numFmtId="168" fontId="8" fillId="4" borderId="0" xfId="0" applyNumberFormat="1" applyFont="1" applyFill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167" fontId="9" fillId="0" borderId="0" xfId="0" applyNumberFormat="1" applyFont="1" applyAlignment="1">
      <alignment horizontal="center"/>
    </xf>
    <xf numFmtId="166" fontId="3" fillId="0" borderId="0" xfId="0" applyNumberFormat="1" applyFont="1"/>
    <xf numFmtId="167" fontId="9" fillId="0" borderId="12" xfId="0" applyNumberFormat="1" applyFont="1" applyBorder="1" applyAlignment="1">
      <alignment horizontal="center"/>
    </xf>
    <xf numFmtId="166" fontId="3" fillId="0" borderId="12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9" fontId="3" fillId="0" borderId="0" xfId="0" applyNumberFormat="1" applyFont="1"/>
    <xf numFmtId="0" fontId="10" fillId="4" borderId="11" xfId="2" applyFont="1" applyFill="1" applyBorder="1" applyAlignment="1">
      <alignment horizontal="left" vertical="center"/>
    </xf>
    <xf numFmtId="6" fontId="7" fillId="0" borderId="12" xfId="0" applyNumberFormat="1" applyFont="1" applyBorder="1" applyAlignment="1">
      <alignment horizontal="center"/>
    </xf>
    <xf numFmtId="166" fontId="7" fillId="0" borderId="12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center"/>
    </xf>
    <xf numFmtId="0" fontId="11" fillId="4" borderId="0" xfId="0" applyFont="1" applyFill="1" applyAlignment="1">
      <alignment vertical="center"/>
    </xf>
    <xf numFmtId="166" fontId="3" fillId="4" borderId="0" xfId="0" applyNumberFormat="1" applyFont="1" applyFill="1" applyAlignment="1">
      <alignment vertical="center"/>
    </xf>
    <xf numFmtId="3" fontId="6" fillId="3" borderId="12" xfId="1" applyNumberFormat="1" applyFont="1" applyFill="1" applyBorder="1" applyAlignment="1">
      <alignment horizontal="left" vertical="center"/>
    </xf>
    <xf numFmtId="168" fontId="6" fillId="3" borderId="12" xfId="0" applyNumberFormat="1" applyFont="1" applyFill="1" applyBorder="1" applyAlignment="1">
      <alignment horizontal="right" vertical="center"/>
    </xf>
    <xf numFmtId="3" fontId="3" fillId="4" borderId="0" xfId="0" applyNumberFormat="1" applyFont="1" applyFill="1" applyAlignment="1">
      <alignment vertical="center"/>
    </xf>
    <xf numFmtId="10" fontId="9" fillId="4" borderId="0" xfId="0" applyNumberFormat="1" applyFont="1" applyFill="1" applyAlignment="1">
      <alignment vertical="center"/>
    </xf>
    <xf numFmtId="0" fontId="10" fillId="0" borderId="0" xfId="2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8" fillId="0" borderId="0" xfId="2" applyFont="1" applyAlignment="1">
      <alignment horizontal="left" vertical="center" indent="1"/>
    </xf>
    <xf numFmtId="0" fontId="8" fillId="0" borderId="0" xfId="2" applyFont="1" applyAlignment="1">
      <alignment horizontal="left" vertical="center"/>
    </xf>
    <xf numFmtId="167" fontId="9" fillId="0" borderId="0" xfId="2" applyNumberFormat="1" applyFont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8" fillId="0" borderId="12" xfId="2" applyFont="1" applyBorder="1" applyAlignment="1">
      <alignment horizontal="left" vertical="center" indent="1"/>
    </xf>
    <xf numFmtId="0" fontId="8" fillId="0" borderId="12" xfId="2" applyFont="1" applyBorder="1" applyAlignment="1">
      <alignment horizontal="left" vertical="center"/>
    </xf>
    <xf numFmtId="167" fontId="9" fillId="0" borderId="12" xfId="2" applyNumberFormat="1" applyFont="1" applyBorder="1" applyAlignment="1">
      <alignment horizontal="center" vertical="center"/>
    </xf>
    <xf numFmtId="0" fontId="10" fillId="0" borderId="8" xfId="2" applyFont="1" applyBorder="1" applyAlignment="1">
      <alignment horizontal="left" vertical="center"/>
    </xf>
    <xf numFmtId="166" fontId="7" fillId="0" borderId="8" xfId="0" applyNumberFormat="1" applyFont="1" applyBorder="1" applyAlignment="1">
      <alignment vertical="center"/>
    </xf>
    <xf numFmtId="0" fontId="9" fillId="0" borderId="0" xfId="2" applyFont="1" applyAlignment="1">
      <alignment horizontal="left" vertical="center" indent="1"/>
    </xf>
    <xf numFmtId="0" fontId="9" fillId="0" borderId="0" xfId="2" applyFont="1" applyAlignment="1">
      <alignment horizontal="left" vertical="center"/>
    </xf>
    <xf numFmtId="0" fontId="9" fillId="0" borderId="12" xfId="2" applyFont="1" applyBorder="1" applyAlignment="1">
      <alignment horizontal="left" vertical="center" indent="1"/>
    </xf>
    <xf numFmtId="0" fontId="9" fillId="0" borderId="12" xfId="2" applyFont="1" applyBorder="1" applyAlignment="1">
      <alignment horizontal="left" vertical="center"/>
    </xf>
    <xf numFmtId="166" fontId="3" fillId="0" borderId="12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3" borderId="12" xfId="0" applyFont="1" applyFill="1" applyBorder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0" borderId="12" xfId="2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2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3" fillId="0" borderId="0" xfId="2" applyFont="1" applyAlignment="1">
      <alignment vertic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166" fontId="7" fillId="0" borderId="15" xfId="0" applyNumberFormat="1" applyFont="1" applyBorder="1" applyAlignment="1">
      <alignment vertical="center"/>
    </xf>
    <xf numFmtId="166" fontId="7" fillId="0" borderId="16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6" fontId="8" fillId="0" borderId="0" xfId="0" applyNumberFormat="1" applyFont="1" applyAlignment="1">
      <alignment vertical="center"/>
    </xf>
    <xf numFmtId="0" fontId="8" fillId="0" borderId="12" xfId="0" applyFont="1" applyBorder="1" applyAlignment="1">
      <alignment vertical="center"/>
    </xf>
    <xf numFmtId="166" fontId="8" fillId="0" borderId="12" xfId="0" applyNumberFormat="1" applyFont="1" applyBorder="1" applyAlignment="1">
      <alignment vertical="center"/>
    </xf>
    <xf numFmtId="166" fontId="8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1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6" fillId="2" borderId="12" xfId="0" applyFont="1" applyFill="1" applyBorder="1" applyAlignment="1">
      <alignment vertical="center"/>
    </xf>
    <xf numFmtId="168" fontId="6" fillId="2" borderId="12" xfId="0" applyNumberFormat="1" applyFont="1" applyFill="1" applyBorder="1" applyAlignment="1">
      <alignment horizontal="right" vertic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166" fontId="8" fillId="6" borderId="0" xfId="0" applyNumberFormat="1" applyFont="1" applyFill="1" applyAlignment="1">
      <alignment vertical="center"/>
    </xf>
    <xf numFmtId="0" fontId="8" fillId="4" borderId="0" xfId="0" applyFont="1" applyFill="1" applyAlignment="1">
      <alignment horizontal="left" vertical="center"/>
    </xf>
    <xf numFmtId="0" fontId="8" fillId="6" borderId="12" xfId="0" quotePrefix="1" applyFont="1" applyFill="1" applyBorder="1" applyAlignment="1">
      <alignment horizontal="left" vertical="center"/>
    </xf>
    <xf numFmtId="166" fontId="3" fillId="0" borderId="12" xfId="0" applyNumberFormat="1" applyFont="1" applyBorder="1"/>
    <xf numFmtId="166" fontId="8" fillId="6" borderId="12" xfId="0" applyNumberFormat="1" applyFont="1" applyFill="1" applyBorder="1" applyAlignment="1">
      <alignment horizontal="right" vertical="center"/>
    </xf>
    <xf numFmtId="0" fontId="10" fillId="6" borderId="0" xfId="0" applyFont="1" applyFill="1" applyAlignment="1">
      <alignment vertical="center"/>
    </xf>
    <xf numFmtId="166" fontId="10" fillId="6" borderId="0" xfId="0" applyNumberFormat="1" applyFont="1" applyFill="1" applyAlignment="1">
      <alignment horizontal="right" vertical="center"/>
    </xf>
    <xf numFmtId="0" fontId="8" fillId="4" borderId="0" xfId="0" applyFont="1" applyFill="1" applyAlignment="1">
      <alignment vertical="center"/>
    </xf>
    <xf numFmtId="9" fontId="16" fillId="4" borderId="0" xfId="0" applyNumberFormat="1" applyFont="1" applyFill="1" applyAlignment="1">
      <alignment horizontal="right" vertical="center"/>
    </xf>
    <xf numFmtId="9" fontId="8" fillId="4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17" fillId="4" borderId="0" xfId="0" applyFont="1" applyFill="1" applyAlignment="1">
      <alignment horizontal="left" vertical="center" indent="1"/>
    </xf>
    <xf numFmtId="167" fontId="3" fillId="4" borderId="0" xfId="0" applyNumberFormat="1" applyFont="1" applyFill="1" applyAlignment="1">
      <alignment vertical="center"/>
    </xf>
    <xf numFmtId="167" fontId="9" fillId="4" borderId="0" xfId="0" applyNumberFormat="1" applyFont="1" applyFill="1" applyAlignment="1">
      <alignment horizontal="right" vertical="center"/>
    </xf>
    <xf numFmtId="167" fontId="3" fillId="4" borderId="0" xfId="0" applyNumberFormat="1" applyFont="1" applyFill="1" applyAlignment="1">
      <alignment horizontal="right" vertical="center"/>
    </xf>
    <xf numFmtId="0" fontId="18" fillId="4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18" fillId="4" borderId="0" xfId="0" applyFont="1" applyFill="1" applyAlignment="1">
      <alignment horizontal="left" vertical="center"/>
    </xf>
    <xf numFmtId="10" fontId="9" fillId="4" borderId="0" xfId="0" applyNumberFormat="1" applyFont="1" applyFill="1" applyAlignment="1">
      <alignment horizontal="right" vertical="center"/>
    </xf>
    <xf numFmtId="170" fontId="19" fillId="4" borderId="0" xfId="0" applyNumberFormat="1" applyFont="1" applyFill="1" applyAlignment="1">
      <alignment vertical="center"/>
    </xf>
    <xf numFmtId="0" fontId="3" fillId="4" borderId="8" xfId="0" applyFont="1" applyFill="1" applyBorder="1" applyAlignment="1">
      <alignment vertical="center"/>
    </xf>
    <xf numFmtId="166" fontId="3" fillId="4" borderId="8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166" fontId="3" fillId="4" borderId="12" xfId="0" applyNumberFormat="1" applyFont="1" applyFill="1" applyBorder="1" applyAlignment="1">
      <alignment vertical="center"/>
    </xf>
    <xf numFmtId="9" fontId="3" fillId="4" borderId="12" xfId="0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right" vertical="center"/>
    </xf>
    <xf numFmtId="10" fontId="3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166" fontId="7" fillId="4" borderId="0" xfId="0" applyNumberFormat="1" applyFont="1" applyFill="1" applyAlignment="1">
      <alignment vertical="center"/>
    </xf>
    <xf numFmtId="0" fontId="4" fillId="0" borderId="0" xfId="0" applyFont="1" applyFill="1"/>
    <xf numFmtId="0" fontId="20" fillId="0" borderId="0" xfId="0" applyFont="1"/>
    <xf numFmtId="0" fontId="21" fillId="0" borderId="0" xfId="0" applyFont="1"/>
    <xf numFmtId="0" fontId="17" fillId="0" borderId="0" xfId="0" applyFont="1" applyAlignment="1">
      <alignment horizontal="right"/>
    </xf>
    <xf numFmtId="164" fontId="22" fillId="0" borderId="0" xfId="0" applyNumberFormat="1" applyFont="1" applyAlignment="1">
      <alignment horizontal="center" vertical="center"/>
    </xf>
    <xf numFmtId="10" fontId="21" fillId="0" borderId="0" xfId="0" applyNumberFormat="1" applyFont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166" fontId="3" fillId="0" borderId="6" xfId="0" applyNumberFormat="1" applyFont="1" applyBorder="1"/>
    <xf numFmtId="166" fontId="3" fillId="0" borderId="9" xfId="0" applyNumberFormat="1" applyFont="1" applyBorder="1" applyAlignment="1">
      <alignment horizontal="left"/>
    </xf>
    <xf numFmtId="0" fontId="3" fillId="0" borderId="11" xfId="0" applyFont="1" applyBorder="1"/>
    <xf numFmtId="168" fontId="6" fillId="3" borderId="11" xfId="0" applyNumberFormat="1" applyFont="1" applyFill="1" applyBorder="1" applyAlignment="1">
      <alignment horizontal="right" vertical="center"/>
    </xf>
    <xf numFmtId="10" fontId="9" fillId="4" borderId="9" xfId="0" applyNumberFormat="1" applyFont="1" applyFill="1" applyBorder="1" applyAlignment="1">
      <alignment vertical="center"/>
    </xf>
    <xf numFmtId="166" fontId="7" fillId="0" borderId="9" xfId="0" applyNumberFormat="1" applyFont="1" applyBorder="1" applyAlignment="1">
      <alignment vertical="center"/>
    </xf>
    <xf numFmtId="166" fontId="3" fillId="0" borderId="9" xfId="0" applyNumberFormat="1" applyFont="1" applyBorder="1" applyAlignment="1">
      <alignment vertical="center"/>
    </xf>
    <xf numFmtId="166" fontId="7" fillId="0" borderId="7" xfId="0" applyNumberFormat="1" applyFont="1" applyBorder="1" applyAlignment="1">
      <alignment vertical="center"/>
    </xf>
    <xf numFmtId="166" fontId="9" fillId="0" borderId="9" xfId="0" applyNumberFormat="1" applyFont="1" applyBorder="1" applyAlignment="1">
      <alignment vertical="center"/>
    </xf>
    <xf numFmtId="166" fontId="9" fillId="0" borderId="11" xfId="0" applyNumberFormat="1" applyFont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166" fontId="7" fillId="0" borderId="17" xfId="0" applyNumberFormat="1" applyFont="1" applyBorder="1" applyAlignment="1">
      <alignment vertical="center"/>
    </xf>
    <xf numFmtId="166" fontId="8" fillId="0" borderId="9" xfId="0" applyNumberFormat="1" applyFont="1" applyBorder="1" applyAlignment="1">
      <alignment vertical="center"/>
    </xf>
    <xf numFmtId="166" fontId="8" fillId="0" borderId="11" xfId="0" applyNumberFormat="1" applyFont="1" applyBorder="1" applyAlignment="1">
      <alignment vertical="center"/>
    </xf>
    <xf numFmtId="166" fontId="10" fillId="0" borderId="8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6" fontId="3" fillId="0" borderId="9" xfId="0" applyNumberFormat="1" applyFont="1" applyBorder="1" applyAlignment="1">
      <alignment horizontal="right" vertical="center"/>
    </xf>
    <xf numFmtId="166" fontId="3" fillId="0" borderId="11" xfId="0" applyNumberFormat="1" applyFont="1" applyBorder="1" applyAlignment="1">
      <alignment horizontal="right" vertical="center"/>
    </xf>
    <xf numFmtId="166" fontId="10" fillId="0" borderId="8" xfId="0" applyNumberFormat="1" applyFont="1" applyBorder="1" applyAlignment="1">
      <alignment horizontal="right" vertical="center"/>
    </xf>
    <xf numFmtId="166" fontId="10" fillId="0" borderId="7" xfId="0" applyNumberFormat="1" applyFont="1" applyBorder="1" applyAlignment="1">
      <alignment horizontal="right" vertical="center"/>
    </xf>
    <xf numFmtId="168" fontId="6" fillId="2" borderId="11" xfId="0" applyNumberFormat="1" applyFont="1" applyFill="1" applyBorder="1" applyAlignment="1">
      <alignment horizontal="right" vertical="center"/>
    </xf>
    <xf numFmtId="166" fontId="8" fillId="6" borderId="9" xfId="0" applyNumberFormat="1" applyFont="1" applyFill="1" applyBorder="1" applyAlignment="1">
      <alignment vertical="center"/>
    </xf>
    <xf numFmtId="166" fontId="8" fillId="0" borderId="9" xfId="0" applyNumberFormat="1" applyFont="1" applyBorder="1" applyAlignment="1">
      <alignment horizontal="right" vertical="center"/>
    </xf>
    <xf numFmtId="166" fontId="8" fillId="6" borderId="11" xfId="0" applyNumberFormat="1" applyFont="1" applyFill="1" applyBorder="1" applyAlignment="1">
      <alignment horizontal="right" vertical="center"/>
    </xf>
    <xf numFmtId="166" fontId="10" fillId="6" borderId="9" xfId="0" applyNumberFormat="1" applyFont="1" applyFill="1" applyBorder="1" applyAlignment="1">
      <alignment horizontal="right" vertical="center"/>
    </xf>
    <xf numFmtId="166" fontId="3" fillId="4" borderId="7" xfId="0" applyNumberFormat="1" applyFont="1" applyFill="1" applyBorder="1" applyAlignment="1">
      <alignment vertical="center"/>
    </xf>
    <xf numFmtId="0" fontId="10" fillId="6" borderId="8" xfId="0" applyFont="1" applyFill="1" applyBorder="1" applyAlignment="1">
      <alignment vertical="center"/>
    </xf>
    <xf numFmtId="166" fontId="10" fillId="6" borderId="8" xfId="0" applyNumberFormat="1" applyFont="1" applyFill="1" applyBorder="1" applyAlignment="1">
      <alignment horizontal="right" vertical="center"/>
    </xf>
    <xf numFmtId="166" fontId="10" fillId="6" borderId="7" xfId="0" applyNumberFormat="1" applyFont="1" applyFill="1" applyBorder="1" applyAlignment="1">
      <alignment horizontal="right" vertical="center"/>
    </xf>
    <xf numFmtId="166" fontId="3" fillId="4" borderId="11" xfId="0" applyNumberFormat="1" applyFont="1" applyFill="1" applyBorder="1" applyAlignment="1">
      <alignment vertical="center"/>
    </xf>
    <xf numFmtId="166" fontId="3" fillId="4" borderId="9" xfId="0" applyNumberFormat="1" applyFont="1" applyFill="1" applyBorder="1" applyAlignment="1">
      <alignment vertical="center"/>
    </xf>
    <xf numFmtId="0" fontId="6" fillId="2" borderId="11" xfId="0" applyFont="1" applyFill="1" applyBorder="1" applyAlignment="1">
      <alignment horizontal="right" vertical="center"/>
    </xf>
    <xf numFmtId="166" fontId="7" fillId="4" borderId="9" xfId="0" applyNumberFormat="1" applyFont="1" applyFill="1" applyBorder="1" applyAlignment="1">
      <alignment vertical="center"/>
    </xf>
    <xf numFmtId="0" fontId="8" fillId="4" borderId="4" xfId="2" applyFont="1" applyFill="1" applyBorder="1" applyAlignment="1">
      <alignment horizontal="left" vertical="center"/>
    </xf>
    <xf numFmtId="165" fontId="8" fillId="4" borderId="5" xfId="0" applyNumberFormat="1" applyFont="1" applyFill="1" applyBorder="1" applyAlignment="1">
      <alignment horizontal="right" vertical="center"/>
    </xf>
    <xf numFmtId="166" fontId="9" fillId="4" borderId="6" xfId="2" applyNumberFormat="1" applyFont="1" applyFill="1" applyBorder="1" applyAlignment="1">
      <alignment horizontal="right" vertical="center"/>
    </xf>
    <xf numFmtId="165" fontId="8" fillId="4" borderId="12" xfId="0" applyNumberFormat="1" applyFont="1" applyFill="1" applyBorder="1" applyAlignment="1">
      <alignment horizontal="right" vertical="center"/>
    </xf>
    <xf numFmtId="3" fontId="9" fillId="4" borderId="1" xfId="2" applyNumberFormat="1" applyFont="1" applyFill="1" applyBorder="1" applyAlignment="1">
      <alignment horizontal="right" vertical="center"/>
    </xf>
    <xf numFmtId="3" fontId="6" fillId="3" borderId="12" xfId="1" applyNumberFormat="1" applyFont="1" applyFill="1" applyBorder="1" applyAlignment="1">
      <alignment horizontal="center" vertical="center"/>
    </xf>
    <xf numFmtId="0" fontId="10" fillId="0" borderId="8" xfId="2" applyFont="1" applyBorder="1" applyAlignment="1">
      <alignment vertical="center"/>
    </xf>
    <xf numFmtId="166" fontId="9" fillId="0" borderId="8" xfId="2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</cellXfs>
  <cellStyles count="3">
    <cellStyle name="Normal" xfId="0" builtinId="0"/>
    <cellStyle name="Normal 2 3" xfId="2" xr:uid="{30A8D973-74A7-42F6-A6F3-8932487FDAFB}"/>
    <cellStyle name="Normal 3" xfId="1" xr:uid="{1A88013C-68EF-450A-BDC4-3326B2D6F5AE}"/>
  </cellStyles>
  <dxfs count="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rutz\OneDrive\Desktop\HELLODATA%20EXPORT%2011-11-2024.xlsx" TargetMode="External"/><Relationship Id="rId1" Type="http://schemas.openxmlformats.org/officeDocument/2006/relationships/externalLinkPath" Target="HELLODATA%20EXPORT%2011-11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"/>
      <sheetName val="30-Day Trends"/>
      <sheetName val="Data Analysis"/>
      <sheetName val="Data"/>
      <sheetName val="Tables"/>
      <sheetName val="Rent Comps"/>
      <sheetName val="Rent Comparison"/>
      <sheetName val="Unit-Level Data"/>
      <sheetName val="Unit Mix"/>
      <sheetName val="Amenities &amp; Finishes"/>
      <sheetName val="Specials"/>
      <sheetName val="Fees"/>
      <sheetName val="Financial Analysis"/>
      <sheetName val="Pro Forma Model"/>
    </sheetNames>
    <sheetDataSet>
      <sheetData sheetId="0"/>
      <sheetData sheetId="1"/>
      <sheetData sheetId="2"/>
      <sheetData sheetId="3">
        <row r="5">
          <cell r="BH5" t="str">
            <v>Row Labels</v>
          </cell>
        </row>
      </sheetData>
      <sheetData sheetId="4"/>
      <sheetData sheetId="5">
        <row r="4">
          <cell r="H4">
            <v>505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5">
          <cell r="J5" t="str">
            <v>{{financials.vacancy_loss.percent_egi}}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0730-BFE9-47C6-8CD0-A48B1FA7AED1}">
  <dimension ref="A1:Q103"/>
  <sheetViews>
    <sheetView showGridLines="0" tabSelected="1" workbookViewId="0">
      <pane ySplit="5" topLeftCell="A6" activePane="bottomLeft" state="frozen"/>
      <selection pane="bottomLeft"/>
    </sheetView>
  </sheetViews>
  <sheetFormatPr defaultRowHeight="14.5" x14ac:dyDescent="0.35"/>
  <cols>
    <col min="1" max="1" width="2.6328125" style="2" customWidth="1"/>
    <col min="2" max="2" width="32.7265625" style="2" bestFit="1" customWidth="1"/>
    <col min="3" max="14" width="14.6328125" style="2" customWidth="1"/>
    <col min="15" max="16384" width="8.7265625" style="2"/>
  </cols>
  <sheetData>
    <row r="1" spans="1:17" ht="4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5" customHeight="1" x14ac:dyDescent="0.35">
      <c r="A2" s="1"/>
      <c r="B2" s="3" t="s">
        <v>111</v>
      </c>
      <c r="C2" s="3"/>
      <c r="D2" s="3"/>
      <c r="E2" s="3"/>
      <c r="F2" s="3"/>
      <c r="G2" s="3"/>
      <c r="H2" s="3"/>
      <c r="I2" s="1"/>
      <c r="J2" s="4"/>
      <c r="K2" s="5" t="s">
        <v>0</v>
      </c>
      <c r="L2" s="5" t="s">
        <v>1</v>
      </c>
      <c r="M2" s="5" t="s">
        <v>2</v>
      </c>
      <c r="N2" s="5" t="s">
        <v>3</v>
      </c>
      <c r="O2" s="1"/>
      <c r="P2" s="1"/>
      <c r="Q2" s="1"/>
    </row>
    <row r="3" spans="1:17" ht="14.5" customHeight="1" x14ac:dyDescent="0.35">
      <c r="A3" s="1"/>
      <c r="B3" s="3"/>
      <c r="C3" s="3"/>
      <c r="D3" s="3"/>
      <c r="E3" s="3"/>
      <c r="F3" s="3"/>
      <c r="G3" s="3"/>
      <c r="H3" s="3"/>
      <c r="I3" s="1"/>
      <c r="J3" s="6" t="s">
        <v>4</v>
      </c>
      <c r="K3" s="7" t="str">
        <f ca="1">IFERROR(-SUM(E60:N60)/D60,"")</f>
        <v/>
      </c>
      <c r="L3" s="8" t="str">
        <f ca="1">IFERROR(IRR(D60:N60),"")</f>
        <v/>
      </c>
      <c r="M3" s="7" t="str">
        <f>IFERROR(IF(C72="Unleveraged",-SUM(E97:N97)/D97,""),"")</f>
        <v/>
      </c>
      <c r="N3" s="8" t="str">
        <f>IFERROR(IF(C72="Unleveraged",IRR(D97:N97),""),"")</f>
        <v/>
      </c>
      <c r="O3" s="1"/>
      <c r="P3" s="1"/>
      <c r="Q3" s="1"/>
    </row>
    <row r="4" spans="1:17" x14ac:dyDescent="0.35">
      <c r="A4" s="1"/>
      <c r="B4" s="116" t="s">
        <v>5</v>
      </c>
      <c r="C4" s="1"/>
      <c r="D4" s="1"/>
      <c r="E4" s="1"/>
      <c r="F4" s="1"/>
      <c r="G4" s="1"/>
      <c r="H4" s="1"/>
      <c r="I4" s="1"/>
      <c r="J4" s="9" t="s">
        <v>6</v>
      </c>
      <c r="K4" s="7" t="str">
        <f ca="1">IFERROR(-SUM(E67:N67)/D67,"")</f>
        <v/>
      </c>
      <c r="L4" s="8" t="str">
        <f ca="1">IFERROR(IRR(D67:N67),"")</f>
        <v/>
      </c>
      <c r="M4" s="7" t="str">
        <f ca="1">IFERROR(IF(C72="Leveraged",-SUM(E97:N97)/D97,""),"")</f>
        <v/>
      </c>
      <c r="N4" s="8" t="str">
        <f ca="1">IFERROR(IF(C72="Leveraged",IRR(D97:N97),""),"")</f>
        <v/>
      </c>
      <c r="O4" s="1"/>
      <c r="P4" s="1"/>
      <c r="Q4" s="1"/>
    </row>
    <row r="5" spans="1:17" s="180" customFormat="1" ht="4" customHeight="1" x14ac:dyDescent="0.35">
      <c r="A5" s="181"/>
      <c r="B5" s="181"/>
      <c r="C5" s="181"/>
      <c r="D5" s="181"/>
      <c r="E5" s="181"/>
      <c r="F5" s="181"/>
      <c r="G5" s="181"/>
      <c r="H5" s="182"/>
      <c r="I5" s="183"/>
      <c r="J5" s="184"/>
      <c r="K5" s="181"/>
      <c r="L5" s="181"/>
      <c r="M5" s="181"/>
      <c r="N5" s="181"/>
      <c r="O5" s="181"/>
      <c r="P5" s="181"/>
      <c r="Q5" s="18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10" t="s">
        <v>7</v>
      </c>
      <c r="C7" s="11"/>
      <c r="D7" s="11"/>
      <c r="E7" s="12"/>
      <c r="F7" s="1"/>
      <c r="G7" s="13" t="s">
        <v>8</v>
      </c>
      <c r="H7" s="14"/>
      <c r="I7" s="15" t="s">
        <v>9</v>
      </c>
      <c r="J7" s="16" t="s">
        <v>10</v>
      </c>
      <c r="K7" s="1"/>
      <c r="L7" s="10" t="s">
        <v>11</v>
      </c>
      <c r="M7" s="17" t="s">
        <v>12</v>
      </c>
      <c r="N7" s="18" t="s">
        <v>13</v>
      </c>
      <c r="O7" s="1"/>
      <c r="P7" s="1"/>
      <c r="Q7" s="1"/>
    </row>
    <row r="8" spans="1:17" x14ac:dyDescent="0.35">
      <c r="A8" s="1"/>
      <c r="B8" s="220" t="s">
        <v>14</v>
      </c>
      <c r="C8" s="221"/>
      <c r="D8" s="221">
        <f ca="1">E8/E9</f>
        <v>0</v>
      </c>
      <c r="E8" s="222">
        <f ca="1">ROUND(E11,-3)</f>
        <v>0</v>
      </c>
      <c r="F8" s="1"/>
      <c r="G8" s="19" t="s">
        <v>15</v>
      </c>
      <c r="H8" s="21"/>
      <c r="I8" s="22">
        <v>6.5000000000000002E-2</v>
      </c>
      <c r="J8" s="23">
        <v>0.05</v>
      </c>
      <c r="K8" s="1"/>
      <c r="L8" s="24" t="s">
        <v>9</v>
      </c>
      <c r="M8" s="1"/>
      <c r="N8" s="25">
        <f ca="1">I21</f>
        <v>0</v>
      </c>
      <c r="O8" s="1"/>
      <c r="P8" s="1"/>
      <c r="Q8" s="1"/>
    </row>
    <row r="9" spans="1:17" x14ac:dyDescent="0.35">
      <c r="A9" s="1"/>
      <c r="B9" s="36" t="s">
        <v>119</v>
      </c>
      <c r="C9" s="223"/>
      <c r="D9" s="223"/>
      <c r="E9" s="224">
        <v>200</v>
      </c>
      <c r="F9" s="26"/>
      <c r="G9" s="19" t="s">
        <v>17</v>
      </c>
      <c r="H9" s="27"/>
      <c r="I9" s="28">
        <v>360</v>
      </c>
      <c r="J9" s="29">
        <v>360</v>
      </c>
      <c r="K9" s="1"/>
      <c r="L9" s="24" t="s">
        <v>18</v>
      </c>
      <c r="M9" s="1"/>
      <c r="N9" s="25">
        <f ca="1">N18-N8-N10</f>
        <v>0</v>
      </c>
      <c r="O9" s="1"/>
      <c r="P9" s="1"/>
      <c r="Q9" s="1"/>
    </row>
    <row r="10" spans="1:17" x14ac:dyDescent="0.35">
      <c r="A10" s="1"/>
      <c r="B10" s="19" t="s">
        <v>16</v>
      </c>
      <c r="C10" s="22"/>
      <c r="D10" s="22"/>
      <c r="E10" s="23">
        <v>7.0000000000000007E-2</v>
      </c>
      <c r="F10" s="1"/>
      <c r="G10" s="19" t="s">
        <v>20</v>
      </c>
      <c r="H10" s="27"/>
      <c r="I10" s="31">
        <v>16</v>
      </c>
      <c r="J10" s="32">
        <v>12</v>
      </c>
      <c r="K10" s="1"/>
      <c r="L10" s="33" t="s">
        <v>21</v>
      </c>
      <c r="M10" s="34"/>
      <c r="N10" s="35">
        <v>0</v>
      </c>
      <c r="O10" s="1"/>
      <c r="P10" s="1"/>
      <c r="Q10" s="1"/>
    </row>
    <row r="11" spans="1:17" x14ac:dyDescent="0.35">
      <c r="A11" s="1"/>
      <c r="B11" s="19" t="s">
        <v>19</v>
      </c>
      <c r="C11" s="30"/>
      <c r="D11" s="30"/>
      <c r="E11" s="20">
        <f ca="1">E54/E10</f>
        <v>0</v>
      </c>
      <c r="F11" s="1"/>
      <c r="G11" s="36" t="s">
        <v>23</v>
      </c>
      <c r="H11" s="37"/>
      <c r="I11" s="38">
        <v>10</v>
      </c>
      <c r="J11" s="39">
        <v>10</v>
      </c>
      <c r="K11" s="1"/>
      <c r="L11" s="40" t="s">
        <v>24</v>
      </c>
      <c r="M11" s="41"/>
      <c r="N11" s="42">
        <f ca="1">SUM(N8:N10)</f>
        <v>0</v>
      </c>
      <c r="O11" s="1"/>
      <c r="P11" s="1"/>
      <c r="Q11" s="1"/>
    </row>
    <row r="12" spans="1:17" x14ac:dyDescent="0.35">
      <c r="A12" s="1"/>
      <c r="B12" s="19" t="s">
        <v>22</v>
      </c>
      <c r="C12" s="22"/>
      <c r="D12" s="22"/>
      <c r="E12" s="23">
        <f>E10</f>
        <v>7.0000000000000007E-2</v>
      </c>
      <c r="F12" s="1"/>
      <c r="G12" s="19" t="s">
        <v>26</v>
      </c>
      <c r="H12" s="43"/>
      <c r="I12" s="44">
        <v>0.65</v>
      </c>
      <c r="J12" s="45">
        <v>0.65</v>
      </c>
      <c r="K12" s="1"/>
      <c r="L12" s="46" t="s">
        <v>27</v>
      </c>
      <c r="M12" s="47" t="s">
        <v>12</v>
      </c>
      <c r="N12" s="48" t="s">
        <v>13</v>
      </c>
      <c r="O12" s="1"/>
      <c r="P12" s="1"/>
      <c r="Q12" s="1"/>
    </row>
    <row r="13" spans="1:17" x14ac:dyDescent="0.35">
      <c r="A13" s="1"/>
      <c r="B13" s="19" t="s">
        <v>25</v>
      </c>
      <c r="C13" s="22"/>
      <c r="D13" s="22"/>
      <c r="E13" s="23">
        <v>0.03</v>
      </c>
      <c r="F13" s="1"/>
      <c r="G13" s="36" t="s">
        <v>29</v>
      </c>
      <c r="H13" s="51"/>
      <c r="I13" s="52">
        <v>1.25</v>
      </c>
      <c r="J13" s="53">
        <v>1.25</v>
      </c>
      <c r="K13" s="1"/>
      <c r="L13" s="185" t="s">
        <v>30</v>
      </c>
      <c r="M13" s="186"/>
      <c r="N13" s="187">
        <f ca="1">E8</f>
        <v>0</v>
      </c>
      <c r="O13" s="1"/>
      <c r="P13" s="1"/>
      <c r="Q13" s="1"/>
    </row>
    <row r="14" spans="1:17" x14ac:dyDescent="0.35">
      <c r="A14" s="1"/>
      <c r="B14" s="46" t="s">
        <v>28</v>
      </c>
      <c r="C14" s="49"/>
      <c r="D14" s="49"/>
      <c r="E14" s="50"/>
      <c r="F14" s="1"/>
      <c r="G14" s="19" t="s">
        <v>32</v>
      </c>
      <c r="H14" s="56"/>
      <c r="I14" s="57">
        <f ca="1">$E$54/$E$10*I12</f>
        <v>0</v>
      </c>
      <c r="J14" s="58">
        <f ca="1">IF(E19=0,0,OFFSET($E$54,0,(INT(E19-1)/12))/$E$10*J12)</f>
        <v>0</v>
      </c>
      <c r="K14" s="1"/>
      <c r="L14" s="24" t="s">
        <v>25</v>
      </c>
      <c r="M14" s="1"/>
      <c r="N14" s="25">
        <f ca="1">E13*E8</f>
        <v>0</v>
      </c>
      <c r="O14" s="1"/>
      <c r="P14" s="1"/>
      <c r="Q14" s="1"/>
    </row>
    <row r="15" spans="1:17" x14ac:dyDescent="0.35">
      <c r="A15" s="1"/>
      <c r="B15" s="24" t="s">
        <v>31</v>
      </c>
      <c r="C15" s="54"/>
      <c r="D15" s="54">
        <f ca="1">E15*OFFSET('[1]Rent Comps'!$H$4,0,0)</f>
        <v>0</v>
      </c>
      <c r="E15" s="55">
        <v>0</v>
      </c>
      <c r="F15" s="59"/>
      <c r="G15" s="36" t="s">
        <v>34</v>
      </c>
      <c r="H15" s="60"/>
      <c r="I15" s="61">
        <f ca="1">PV(I8/12,I9,-$E$54/12/I13,0)</f>
        <v>0</v>
      </c>
      <c r="J15" s="62">
        <f ca="1">IF(E19=0,0,PV(J8/12,J9,-OFFSET($E$54,0,(INT(E19-1)/12))/12/J13,0))</f>
        <v>0</v>
      </c>
      <c r="K15" s="1"/>
      <c r="L15" s="24" t="s">
        <v>112</v>
      </c>
      <c r="M15" s="1"/>
      <c r="N15" s="25">
        <f ca="1">E15*D17</f>
        <v>0</v>
      </c>
      <c r="O15" s="1"/>
      <c r="P15" s="1"/>
      <c r="Q15" s="1"/>
    </row>
    <row r="16" spans="1:17" x14ac:dyDescent="0.35">
      <c r="A16" s="1"/>
      <c r="B16" s="24" t="s">
        <v>33</v>
      </c>
      <c r="C16" s="54"/>
      <c r="D16" s="54">
        <f ca="1">E16*OFFSET('[1]Rent Comps'!$H$4,0,0)</f>
        <v>0</v>
      </c>
      <c r="E16" s="55">
        <v>0</v>
      </c>
      <c r="F16" s="1"/>
      <c r="G16" s="65" t="s">
        <v>36</v>
      </c>
      <c r="H16" s="66"/>
      <c r="I16" s="67">
        <f ca="1">MIN(I14:I15)</f>
        <v>0</v>
      </c>
      <c r="J16" s="68">
        <f ca="1">MIN(J14:J15)</f>
        <v>0</v>
      </c>
      <c r="K16" s="1"/>
      <c r="L16" s="188" t="s">
        <v>113</v>
      </c>
      <c r="M16" s="1"/>
      <c r="N16" s="25">
        <f ca="1">SUM(D73:N73)</f>
        <v>0</v>
      </c>
      <c r="O16" s="1"/>
      <c r="P16" s="1"/>
      <c r="Q16" s="1"/>
    </row>
    <row r="17" spans="1:17" x14ac:dyDescent="0.35">
      <c r="A17" s="1"/>
      <c r="B17" s="24" t="s">
        <v>35</v>
      </c>
      <c r="C17" s="63"/>
      <c r="D17" s="63">
        <f ca="1">E17*ROUND(OFFSET('[1]Rent Comps'!$H$4,0,0),-2)</f>
        <v>0</v>
      </c>
      <c r="E17" s="64">
        <v>0</v>
      </c>
      <c r="F17" s="1"/>
      <c r="G17" s="72" t="s">
        <v>38</v>
      </c>
      <c r="H17" s="73"/>
      <c r="I17" s="54">
        <f ca="1">I16*I8</f>
        <v>0</v>
      </c>
      <c r="J17" s="74">
        <f ca="1">J16*J8</f>
        <v>0</v>
      </c>
      <c r="K17" s="1"/>
      <c r="L17" s="189" t="s">
        <v>114</v>
      </c>
      <c r="M17" s="69"/>
      <c r="N17" s="70">
        <f ca="1">SUM(D74:N74)</f>
        <v>0</v>
      </c>
      <c r="O17" s="1"/>
      <c r="P17" s="1"/>
      <c r="Q17" s="1"/>
    </row>
    <row r="18" spans="1:17" x14ac:dyDescent="0.35">
      <c r="A18" s="1"/>
      <c r="B18" s="24" t="s">
        <v>37</v>
      </c>
      <c r="C18" s="71"/>
      <c r="D18" s="71"/>
      <c r="E18" s="32">
        <v>24</v>
      </c>
      <c r="F18" s="1"/>
      <c r="G18" s="24" t="s">
        <v>40</v>
      </c>
      <c r="H18" s="73"/>
      <c r="I18" s="54">
        <f ca="1">PMT(I8/12,I9,-I14,0)*12</f>
        <v>0</v>
      </c>
      <c r="J18" s="74">
        <f ca="1">PMT(J8/12,J9,-J16,0)*12</f>
        <v>0</v>
      </c>
      <c r="K18" s="1"/>
      <c r="L18" s="75" t="s">
        <v>39</v>
      </c>
      <c r="M18" s="76"/>
      <c r="N18" s="77">
        <f ca="1">SUM(N13:N16)</f>
        <v>0</v>
      </c>
      <c r="O18" s="1"/>
      <c r="P18" s="1"/>
      <c r="Q18" s="1"/>
    </row>
    <row r="19" spans="1:17" x14ac:dyDescent="0.35">
      <c r="A19" s="1"/>
      <c r="B19" s="78" t="s">
        <v>115</v>
      </c>
      <c r="C19" s="79"/>
      <c r="D19" s="79"/>
      <c r="E19" s="80">
        <v>36</v>
      </c>
      <c r="F19" s="1"/>
      <c r="G19" s="19" t="s">
        <v>42</v>
      </c>
      <c r="H19" s="83">
        <v>0.01</v>
      </c>
      <c r="I19" s="54">
        <f ca="1">$H19*I16</f>
        <v>0</v>
      </c>
      <c r="J19" s="74">
        <f ca="1">H19*J16</f>
        <v>0</v>
      </c>
      <c r="K19" s="1"/>
      <c r="L19" s="84"/>
      <c r="M19" s="1"/>
      <c r="N19" s="1"/>
      <c r="O19" s="1"/>
      <c r="P19" s="1"/>
      <c r="Q19" s="1"/>
    </row>
    <row r="20" spans="1:17" x14ac:dyDescent="0.35">
      <c r="A20" s="1"/>
      <c r="B20" s="36" t="s">
        <v>41</v>
      </c>
      <c r="C20" s="81"/>
      <c r="D20" s="81"/>
      <c r="E20" s="82">
        <v>7</v>
      </c>
      <c r="F20" s="1"/>
      <c r="G20" s="36" t="s">
        <v>43</v>
      </c>
      <c r="H20" s="85">
        <f>IF(E19&gt;0,3%,"")</f>
        <v>0.03</v>
      </c>
      <c r="I20" s="86"/>
      <c r="J20" s="87">
        <f ca="1">IFERROR(H20*I22,0)</f>
        <v>0</v>
      </c>
      <c r="K20" s="1"/>
      <c r="L20" s="88"/>
      <c r="M20" s="88"/>
      <c r="N20" s="1"/>
      <c r="O20" s="1"/>
      <c r="P20" s="1"/>
      <c r="Q20" s="1"/>
    </row>
    <row r="21" spans="1:17" x14ac:dyDescent="0.35">
      <c r="A21" s="1"/>
      <c r="B21" s="1"/>
      <c r="C21" s="1"/>
      <c r="D21" s="1"/>
      <c r="E21" s="1"/>
      <c r="F21" s="1"/>
      <c r="G21" s="89" t="s">
        <v>44</v>
      </c>
      <c r="H21" s="90"/>
      <c r="I21" s="91">
        <f ca="1">I16-I19</f>
        <v>0</v>
      </c>
      <c r="J21" s="92">
        <f ca="1">IF(E19&gt;0,J16-I22-SUM(J19:J20),0)</f>
        <v>0</v>
      </c>
      <c r="K21" s="1"/>
      <c r="L21" s="1"/>
      <c r="M21" s="1"/>
      <c r="N21" s="1"/>
      <c r="O21" s="1"/>
      <c r="P21" s="1"/>
      <c r="Q21" s="1"/>
    </row>
    <row r="22" spans="1:17" s="179" customFormat="1" x14ac:dyDescent="0.35">
      <c r="A22" s="1"/>
      <c r="B22" s="1"/>
      <c r="C22" s="1"/>
      <c r="D22" s="1"/>
      <c r="E22" s="1"/>
      <c r="F22" s="1"/>
      <c r="G22" s="36" t="s">
        <v>45</v>
      </c>
      <c r="H22" s="93"/>
      <c r="I22" s="86">
        <f ca="1">FV(I8/12,MIN(I11*12,IF(E19=0,I11*12,$E$19),$E$20*12)-I10,I18/12,-I16)</f>
        <v>0</v>
      </c>
      <c r="J22" s="87">
        <f ca="1">FV(J8/12,E20*12-$E$19-J10,J18/12,-J16)</f>
        <v>0</v>
      </c>
      <c r="K22" s="1"/>
      <c r="L22" s="84"/>
      <c r="M22" s="1"/>
      <c r="N22" s="1"/>
      <c r="O22" s="1"/>
      <c r="P22" s="1"/>
      <c r="Q22" s="1"/>
    </row>
    <row r="23" spans="1:17" ht="18.5" x14ac:dyDescent="0.35">
      <c r="A23" s="1"/>
      <c r="B23" s="94" t="s">
        <v>46</v>
      </c>
      <c r="C23" s="59"/>
      <c r="D23" s="59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1"/>
      <c r="P23" s="1"/>
      <c r="Q23" s="1"/>
    </row>
    <row r="24" spans="1:17" s="179" customFormat="1" x14ac:dyDescent="0.35">
      <c r="A24" s="1"/>
      <c r="B24" s="96" t="s">
        <v>47</v>
      </c>
      <c r="C24" s="96"/>
      <c r="D24" s="96"/>
      <c r="E24" s="190">
        <v>1</v>
      </c>
      <c r="F24" s="97">
        <f>E24+1</f>
        <v>2</v>
      </c>
      <c r="G24" s="97">
        <f>F24+1</f>
        <v>3</v>
      </c>
      <c r="H24" s="97">
        <f>G24+1</f>
        <v>4</v>
      </c>
      <c r="I24" s="97">
        <f t="shared" ref="I24:N24" si="0">H24+1</f>
        <v>5</v>
      </c>
      <c r="J24" s="97">
        <f t="shared" si="0"/>
        <v>6</v>
      </c>
      <c r="K24" s="97">
        <f t="shared" si="0"/>
        <v>7</v>
      </c>
      <c r="L24" s="97">
        <f t="shared" si="0"/>
        <v>8</v>
      </c>
      <c r="M24" s="97">
        <f t="shared" si="0"/>
        <v>9</v>
      </c>
      <c r="N24" s="97">
        <f t="shared" si="0"/>
        <v>10</v>
      </c>
      <c r="O24" s="1"/>
      <c r="P24" s="1"/>
      <c r="Q24" s="1"/>
    </row>
    <row r="25" spans="1:17" s="179" customFormat="1" x14ac:dyDescent="0.35">
      <c r="A25" s="1"/>
      <c r="B25" s="59" t="s">
        <v>48</v>
      </c>
      <c r="C25" s="98"/>
      <c r="D25" s="98"/>
      <c r="E25" s="191">
        <v>0.03</v>
      </c>
      <c r="F25" s="99">
        <f>IF($E$20&gt;=F$24,E25,0)</f>
        <v>0.03</v>
      </c>
      <c r="G25" s="99">
        <f>IF($E$20&gt;=G$24,F25,0)</f>
        <v>0.03</v>
      </c>
      <c r="H25" s="99">
        <f>IF($E$20&gt;=H$24,G25,0)</f>
        <v>0.03</v>
      </c>
      <c r="I25" s="99">
        <f>IF($E$20&gt;=I$24,H25,0)</f>
        <v>0.03</v>
      </c>
      <c r="J25" s="99">
        <f>IF($E$20&gt;=J$24,I25,0)</f>
        <v>0.03</v>
      </c>
      <c r="K25" s="99">
        <f>IF($E$20&gt;=K$24,J25,0)</f>
        <v>0.03</v>
      </c>
      <c r="L25" s="99">
        <f>IF($E$20&gt;=L$24,K25,0)</f>
        <v>0</v>
      </c>
      <c r="M25" s="99">
        <f>IF($E$20&gt;=M$24,L25,0)</f>
        <v>0</v>
      </c>
      <c r="N25" s="99">
        <f>IF($E$20&gt;=N$24,M25,0)</f>
        <v>0</v>
      </c>
      <c r="O25" s="1"/>
      <c r="P25" s="1"/>
      <c r="Q25" s="1"/>
    </row>
    <row r="26" spans="1:17" x14ac:dyDescent="0.35">
      <c r="A26" s="1"/>
      <c r="B26" s="59" t="s">
        <v>49</v>
      </c>
      <c r="C26" s="59"/>
      <c r="D26" s="59"/>
      <c r="E26" s="191">
        <v>0.03</v>
      </c>
      <c r="F26" s="99">
        <f>IF($E$20&gt;=F$24,E26,0)</f>
        <v>0.03</v>
      </c>
      <c r="G26" s="99">
        <f>IF($E$20&gt;=G$24,F26,0)</f>
        <v>0.03</v>
      </c>
      <c r="H26" s="99">
        <f>IF($E$20&gt;=H$24,G26,0)</f>
        <v>0.03</v>
      </c>
      <c r="I26" s="99">
        <f>IF($E$20&gt;=I$24,H26,0)</f>
        <v>0.03</v>
      </c>
      <c r="J26" s="99">
        <f>IF($E$20&gt;=J$24,I26,0)</f>
        <v>0.03</v>
      </c>
      <c r="K26" s="99">
        <f>IF($E$20&gt;=K$24,J26,0)</f>
        <v>0.03</v>
      </c>
      <c r="L26" s="99">
        <f>IF($E$20&gt;=L$24,K26,0)</f>
        <v>0</v>
      </c>
      <c r="M26" s="99">
        <f>IF($E$20&gt;=M$24,L26,0)</f>
        <v>0</v>
      </c>
      <c r="N26" s="99">
        <f>IF($E$20&gt;=N$24,M26,0)</f>
        <v>0</v>
      </c>
      <c r="O26" s="1"/>
      <c r="P26" s="1"/>
      <c r="Q26" s="1"/>
    </row>
    <row r="27" spans="1:17" x14ac:dyDescent="0.35">
      <c r="A27" s="1"/>
      <c r="B27" s="96" t="s">
        <v>50</v>
      </c>
      <c r="C27" s="96"/>
      <c r="D27" s="225" t="s">
        <v>118</v>
      </c>
      <c r="E27" s="190"/>
      <c r="F27" s="97"/>
      <c r="G27" s="97"/>
      <c r="H27" s="97"/>
      <c r="I27" s="97"/>
      <c r="J27" s="97"/>
      <c r="K27" s="97"/>
      <c r="L27" s="97"/>
      <c r="M27" s="97"/>
      <c r="N27" s="97"/>
      <c r="O27" s="1"/>
      <c r="P27" s="1"/>
      <c r="Q27" s="1"/>
    </row>
    <row r="28" spans="1:17" x14ac:dyDescent="0.35">
      <c r="A28" s="1"/>
      <c r="B28" s="226" t="s">
        <v>51</v>
      </c>
      <c r="C28" s="226"/>
      <c r="D28" s="227">
        <v>0</v>
      </c>
      <c r="E28" s="194">
        <f ca="1">D28+(($D$17*$E$16*12)*IF(E24*12&lt;=$E$18,12/$E$18,IF(AND(E24*12&gt;=$E$18,D24*12&lt;$E$18),((12-(E24*12-$E$18))))/$E$18))</f>
        <v>0</v>
      </c>
      <c r="F28" s="110">
        <f ca="1">IF(F24&lt;=$E$20,E28*(1+F$25),0)+(($D$17*$E$16*12)*IF(F24*12&lt;=$E$18,12/$E$18,IF(AND(F24*12&gt;=$E$18,E24*12&lt;$E$18),((12-(F24*12-$E$18))))/$E$18))</f>
        <v>0</v>
      </c>
      <c r="G28" s="110">
        <f ca="1">IF(G24&lt;=$E$20,F28*(1+G$25),0)+(($D$17*$E$16*12)*IF(G24*12&lt;=$E$18,12/$E$18,IF(AND(G24*12&gt;=$E$18,F24*12&lt;$E$18),((12-(G24*12-$E$18))))/$E$18))</f>
        <v>0</v>
      </c>
      <c r="H28" s="110">
        <f ca="1">IF(H24&lt;=$E$20,G28*(1+H$25),0)+(($D$17*$E$16*12)*IF(H24*12&lt;=$E$18,12/$E$18,IF(AND(H24*12&gt;=$E$18,G24*12&lt;$E$18),((12-(H24*12-$E$18))))/$E$18))</f>
        <v>0</v>
      </c>
      <c r="I28" s="110">
        <f ca="1">IF(I24&lt;=$E$20,H28*(1+I$25),0)+(($D$17*$E$16*12)*IF(I24*12&lt;=$E$18,12/$E$18,IF(AND(I24*12&gt;=$E$18,H24*12&lt;$E$18),((12-(I24*12-$E$18))))/$E$18))</f>
        <v>0</v>
      </c>
      <c r="J28" s="110">
        <f ca="1">IF(J24&lt;=$E$20,I28*(1+J$25),0)+(($D$17*$E$16*12)*IF(J24*12&lt;=$E$18,12/$E$18,IF(AND(J24*12&gt;=$E$18,I24*12&lt;$E$18),((12-(J24*12-$E$18))))/$E$18))</f>
        <v>0</v>
      </c>
      <c r="K28" s="110">
        <f ca="1">IF(K24&lt;=$E$20,J28*(1+K$25),0)+(($D$17*$E$16*12)*IF(K24*12&lt;=$E$18,12/$E$18,IF(AND(K24*12&gt;=$E$18,J24*12&lt;$E$18),((12-(K24*12-$E$18))))/$E$18))</f>
        <v>0</v>
      </c>
      <c r="L28" s="110">
        <f ca="1">IF(L24&lt;=$E$20,K28*(1+L$25),0)+(($D$17*$E$16*12)*IF(L24*12&lt;=$E$18,12/$E$18,IF(AND(L24*12&gt;=$E$18,K24*12&lt;$E$18),((12-(L24*12-$E$18))))/$E$18))</f>
        <v>0</v>
      </c>
      <c r="M28" s="110">
        <f ca="1">IF(M24&lt;=$E$20,L28*(1+M$25),0)+(($D$17*$E$16*12)*IF(M24*12&lt;=$E$18,12/$E$18,IF(AND(M24*12&gt;=$E$18,L24*12&lt;$E$18),((12-(M24*12-$E$18))))/$E$18))</f>
        <v>0</v>
      </c>
      <c r="N28" s="110">
        <f ca="1">IF(N24&lt;=$E$20,M28*(1+N$25),0)+(($D$17*$E$16*12)*IF(N24*12&lt;=$E$18,12/$E$18,IF(AND(N24*12&gt;=$E$18,M24*12&lt;$E$18),((12-(N24*12-$E$18))))/$E$18))</f>
        <v>0</v>
      </c>
      <c r="O28" s="1"/>
      <c r="P28" s="1"/>
      <c r="Q28" s="1"/>
    </row>
    <row r="29" spans="1:17" x14ac:dyDescent="0.35">
      <c r="A29" s="1"/>
      <c r="B29" s="102" t="s">
        <v>52</v>
      </c>
      <c r="C29" s="103"/>
      <c r="D29" s="104">
        <f ca="1">IF(ISNUMBER(OFFSET('[1]Financial Analysis'!J5,0,0)),OFFSET('[1]Financial Analysis'!J5,0,0),5%)</f>
        <v>0.05</v>
      </c>
      <c r="E29" s="193">
        <f ca="1">$D29*E$28</f>
        <v>0</v>
      </c>
      <c r="F29" s="105">
        <f t="shared" ref="F29:N31" ca="1" si="1">$D29*F$28</f>
        <v>0</v>
      </c>
      <c r="G29" s="105">
        <f t="shared" ca="1" si="1"/>
        <v>0</v>
      </c>
      <c r="H29" s="105">
        <f t="shared" ca="1" si="1"/>
        <v>0</v>
      </c>
      <c r="I29" s="105">
        <f t="shared" ca="1" si="1"/>
        <v>0</v>
      </c>
      <c r="J29" s="105">
        <f t="shared" ca="1" si="1"/>
        <v>0</v>
      </c>
      <c r="K29" s="105">
        <f t="shared" ca="1" si="1"/>
        <v>0</v>
      </c>
      <c r="L29" s="105">
        <f t="shared" ca="1" si="1"/>
        <v>0</v>
      </c>
      <c r="M29" s="105">
        <f t="shared" ca="1" si="1"/>
        <v>0</v>
      </c>
      <c r="N29" s="105">
        <f t="shared" ca="1" si="1"/>
        <v>0</v>
      </c>
      <c r="O29" s="1"/>
      <c r="P29" s="1"/>
      <c r="Q29" s="1"/>
    </row>
    <row r="30" spans="1:17" x14ac:dyDescent="0.35">
      <c r="A30" s="1"/>
      <c r="B30" s="102" t="s">
        <v>53</v>
      </c>
      <c r="C30" s="103"/>
      <c r="D30" s="104">
        <v>0.01</v>
      </c>
      <c r="E30" s="193">
        <f t="shared" ref="E30:E31" ca="1" si="2">$D30*E$28</f>
        <v>0</v>
      </c>
      <c r="F30" s="105">
        <f t="shared" ca="1" si="1"/>
        <v>0</v>
      </c>
      <c r="G30" s="105">
        <f t="shared" ca="1" si="1"/>
        <v>0</v>
      </c>
      <c r="H30" s="105">
        <f t="shared" ca="1" si="1"/>
        <v>0</v>
      </c>
      <c r="I30" s="105">
        <f t="shared" ca="1" si="1"/>
        <v>0</v>
      </c>
      <c r="J30" s="105">
        <f t="shared" ca="1" si="1"/>
        <v>0</v>
      </c>
      <c r="K30" s="105">
        <f t="shared" ca="1" si="1"/>
        <v>0</v>
      </c>
      <c r="L30" s="105">
        <f t="shared" ca="1" si="1"/>
        <v>0</v>
      </c>
      <c r="M30" s="105">
        <f t="shared" ca="1" si="1"/>
        <v>0</v>
      </c>
      <c r="N30" s="105">
        <f t="shared" ca="1" si="1"/>
        <v>0</v>
      </c>
      <c r="O30" s="1"/>
      <c r="P30" s="1"/>
      <c r="Q30" s="1"/>
    </row>
    <row r="31" spans="1:17" x14ac:dyDescent="0.35">
      <c r="A31" s="1"/>
      <c r="B31" s="106" t="s">
        <v>54</v>
      </c>
      <c r="C31" s="107"/>
      <c r="D31" s="108">
        <f>GETPIVOTDATA("Concessions as % of Asking Rent",[1]Data!$BH$5)*0.5</f>
        <v>3.0323642836772795E-2</v>
      </c>
      <c r="E31" s="193">
        <f t="shared" ca="1" si="2"/>
        <v>0</v>
      </c>
      <c r="F31" s="105">
        <f t="shared" ca="1" si="1"/>
        <v>0</v>
      </c>
      <c r="G31" s="105">
        <f t="shared" ca="1" si="1"/>
        <v>0</v>
      </c>
      <c r="H31" s="105">
        <f t="shared" ca="1" si="1"/>
        <v>0</v>
      </c>
      <c r="I31" s="105">
        <f t="shared" ca="1" si="1"/>
        <v>0</v>
      </c>
      <c r="J31" s="105">
        <f t="shared" ca="1" si="1"/>
        <v>0</v>
      </c>
      <c r="K31" s="105">
        <f t="shared" ca="1" si="1"/>
        <v>0</v>
      </c>
      <c r="L31" s="105">
        <f t="shared" ca="1" si="1"/>
        <v>0</v>
      </c>
      <c r="M31" s="105">
        <f t="shared" ca="1" si="1"/>
        <v>0</v>
      </c>
      <c r="N31" s="105">
        <f t="shared" ca="1" si="1"/>
        <v>0</v>
      </c>
      <c r="O31" s="1"/>
      <c r="P31" s="1"/>
      <c r="Q31" s="1"/>
    </row>
    <row r="32" spans="1:17" x14ac:dyDescent="0.35">
      <c r="A32" s="1"/>
      <c r="B32" s="109" t="s">
        <v>55</v>
      </c>
      <c r="C32" s="109"/>
      <c r="D32" s="109"/>
      <c r="E32" s="194">
        <f ca="1">E28-SUM(E29:E31)</f>
        <v>0</v>
      </c>
      <c r="F32" s="110">
        <f t="shared" ref="F32:N32" ca="1" si="3">F28-SUM(F29:F31)</f>
        <v>0</v>
      </c>
      <c r="G32" s="110">
        <f t="shared" ca="1" si="3"/>
        <v>0</v>
      </c>
      <c r="H32" s="110">
        <f t="shared" ca="1" si="3"/>
        <v>0</v>
      </c>
      <c r="I32" s="110">
        <f t="shared" ca="1" si="3"/>
        <v>0</v>
      </c>
      <c r="J32" s="110">
        <f t="shared" ca="1" si="3"/>
        <v>0</v>
      </c>
      <c r="K32" s="110">
        <f t="shared" ca="1" si="3"/>
        <v>0</v>
      </c>
      <c r="L32" s="110">
        <f t="shared" ca="1" si="3"/>
        <v>0</v>
      </c>
      <c r="M32" s="110">
        <f t="shared" ca="1" si="3"/>
        <v>0</v>
      </c>
      <c r="N32" s="110">
        <f t="shared" ca="1" si="3"/>
        <v>0</v>
      </c>
      <c r="O32" s="1"/>
      <c r="P32" s="1"/>
      <c r="Q32" s="1"/>
    </row>
    <row r="33" spans="1:17" x14ac:dyDescent="0.35">
      <c r="A33" s="1"/>
      <c r="B33" s="111" t="s">
        <v>56</v>
      </c>
      <c r="C33" s="103"/>
      <c r="D33" s="103"/>
      <c r="E33" s="195">
        <v>0</v>
      </c>
      <c r="F33" s="105">
        <f>IF(F$24&lt;=$E$20,E33*(1+F$25),0)</f>
        <v>0</v>
      </c>
      <c r="G33" s="105">
        <f>IF(G$24&lt;=$E$20,F33*(1+G$25),0)</f>
        <v>0</v>
      </c>
      <c r="H33" s="105">
        <f>IF(H$24&lt;=$E$20,G33*(1+H$25),0)</f>
        <v>0</v>
      </c>
      <c r="I33" s="105">
        <f>IF(I$24&lt;=$E$20,H33*(1+I$25),0)</f>
        <v>0</v>
      </c>
      <c r="J33" s="105">
        <f>IF(J$24&lt;=$E$20,I33*(1+J$25),0)</f>
        <v>0</v>
      </c>
      <c r="K33" s="105">
        <f>IF(K$24&lt;=$E$20,J33*(1+K$25),0)</f>
        <v>0</v>
      </c>
      <c r="L33" s="105">
        <f>IF(L$24&lt;=$E$20,K33*(1+L$25),0)</f>
        <v>0</v>
      </c>
      <c r="M33" s="105">
        <f>IF(M$24&lt;=$E$20,L33*(1+M$25),0)</f>
        <v>0</v>
      </c>
      <c r="N33" s="105">
        <f>IF(N$24&lt;=$E$20,M33*(1+N$25),0)</f>
        <v>0</v>
      </c>
      <c r="O33" s="1"/>
      <c r="P33" s="1"/>
      <c r="Q33" s="1"/>
    </row>
    <row r="34" spans="1:17" x14ac:dyDescent="0.35">
      <c r="A34" s="1"/>
      <c r="B34" s="111" t="s">
        <v>57</v>
      </c>
      <c r="C34" s="103"/>
      <c r="D34" s="103"/>
      <c r="E34" s="195">
        <v>0</v>
      </c>
      <c r="F34" s="105">
        <f>IF(F$24&lt;=$E$20,E34*(1+F$25),0)</f>
        <v>0</v>
      </c>
      <c r="G34" s="105">
        <f>IF(G$24&lt;=$E$20,F34*(1+G$25),0)</f>
        <v>0</v>
      </c>
      <c r="H34" s="105">
        <f>IF(H$24&lt;=$E$20,G34*(1+H$25),0)</f>
        <v>0</v>
      </c>
      <c r="I34" s="105">
        <f>IF(I$24&lt;=$E$20,H34*(1+I$25),0)</f>
        <v>0</v>
      </c>
      <c r="J34" s="105">
        <f>IF(J$24&lt;=$E$20,I34*(1+J$25),0)</f>
        <v>0</v>
      </c>
      <c r="K34" s="105">
        <f>IF(K$24&lt;=$E$20,J34*(1+K$25),0)</f>
        <v>0</v>
      </c>
      <c r="L34" s="105">
        <f>IF(L$24&lt;=$E$20,K34*(1+L$25),0)</f>
        <v>0</v>
      </c>
      <c r="M34" s="105">
        <f>IF(M$24&lt;=$E$20,L34*(1+M$25),0)</f>
        <v>0</v>
      </c>
      <c r="N34" s="105">
        <f>IF(N$24&lt;=$E$20,M34*(1+N$25),0)</f>
        <v>0</v>
      </c>
      <c r="O34" s="1"/>
      <c r="P34" s="1"/>
      <c r="Q34" s="1"/>
    </row>
    <row r="35" spans="1:17" x14ac:dyDescent="0.35">
      <c r="A35" s="1"/>
      <c r="B35" s="111" t="s">
        <v>57</v>
      </c>
      <c r="C35" s="112"/>
      <c r="D35" s="112"/>
      <c r="E35" s="195">
        <v>0</v>
      </c>
      <c r="F35" s="105">
        <f>IF(F$24&lt;=$E$20,E35*(1+F$25),0)</f>
        <v>0</v>
      </c>
      <c r="G35" s="105">
        <f>IF(G$24&lt;=$E$20,F35*(1+G$25),0)</f>
        <v>0</v>
      </c>
      <c r="H35" s="105">
        <f>IF(H$24&lt;=$E$20,G35*(1+H$25),0)</f>
        <v>0</v>
      </c>
      <c r="I35" s="105">
        <f>IF(I$24&lt;=$E$20,H35*(1+I$25),0)</f>
        <v>0</v>
      </c>
      <c r="J35" s="105">
        <f>IF(J$24&lt;=$E$20,I35*(1+J$25),0)</f>
        <v>0</v>
      </c>
      <c r="K35" s="105">
        <f>IF(K$24&lt;=$E$20,J35*(1+K$25),0)</f>
        <v>0</v>
      </c>
      <c r="L35" s="105">
        <f>IF(L$24&lt;=$E$20,K35*(1+L$25),0)</f>
        <v>0</v>
      </c>
      <c r="M35" s="105">
        <f>IF(M$24&lt;=$E$20,L35*(1+M$25),0)</f>
        <v>0</v>
      </c>
      <c r="N35" s="105">
        <f>IF(N$24&lt;=$E$20,M35*(1+N$25),0)</f>
        <v>0</v>
      </c>
      <c r="O35" s="1"/>
      <c r="P35" s="1"/>
      <c r="Q35" s="1"/>
    </row>
    <row r="36" spans="1:17" x14ac:dyDescent="0.35">
      <c r="A36" s="1"/>
      <c r="B36" s="113" t="s">
        <v>57</v>
      </c>
      <c r="C36" s="114"/>
      <c r="D36" s="114"/>
      <c r="E36" s="196">
        <v>0</v>
      </c>
      <c r="F36" s="115">
        <f>IF(F$24&lt;=$E$20,E36*(1+F$25),0)</f>
        <v>0</v>
      </c>
      <c r="G36" s="115">
        <f>IF(G$24&lt;=$E$20,F36*(1+G$25),0)</f>
        <v>0</v>
      </c>
      <c r="H36" s="115">
        <f>IF(H$24&lt;=$E$20,G36*(1+H$25),0)</f>
        <v>0</v>
      </c>
      <c r="I36" s="115">
        <f>IF(I$24&lt;=$E$20,H36*(1+I$25),0)</f>
        <v>0</v>
      </c>
      <c r="J36" s="115">
        <f>IF(J$24&lt;=$E$20,I36*(1+J$25),0)</f>
        <v>0</v>
      </c>
      <c r="K36" s="115">
        <f>IF(K$24&lt;=$E$20,J36*(1+K$25),0)</f>
        <v>0</v>
      </c>
      <c r="L36" s="115">
        <f>IF(L$24&lt;=$E$20,K36*(1+L$25),0)</f>
        <v>0</v>
      </c>
      <c r="M36" s="115">
        <f>IF(M$24&lt;=$E$20,L36*(1+M$25),0)</f>
        <v>0</v>
      </c>
      <c r="N36" s="115">
        <f>IF(N$24&lt;=$E$20,M36*(1+N$25),0)</f>
        <v>0</v>
      </c>
      <c r="O36" s="1"/>
      <c r="P36" s="1"/>
      <c r="Q36" s="1"/>
    </row>
    <row r="37" spans="1:17" x14ac:dyDescent="0.35">
      <c r="A37" s="1"/>
      <c r="B37" s="100" t="s">
        <v>58</v>
      </c>
      <c r="C37" s="116"/>
      <c r="D37" s="116"/>
      <c r="E37" s="192">
        <f ca="1">SUM(E32:E36)</f>
        <v>0</v>
      </c>
      <c r="F37" s="101">
        <f t="shared" ref="F37:N37" ca="1" si="4">SUM(F32:F36)</f>
        <v>0</v>
      </c>
      <c r="G37" s="101">
        <f t="shared" ca="1" si="4"/>
        <v>0</v>
      </c>
      <c r="H37" s="101">
        <f t="shared" ca="1" si="4"/>
        <v>0</v>
      </c>
      <c r="I37" s="101">
        <f t="shared" ca="1" si="4"/>
        <v>0</v>
      </c>
      <c r="J37" s="101">
        <f t="shared" ca="1" si="4"/>
        <v>0</v>
      </c>
      <c r="K37" s="101">
        <f t="shared" ca="1" si="4"/>
        <v>0</v>
      </c>
      <c r="L37" s="101">
        <f t="shared" ca="1" si="4"/>
        <v>0</v>
      </c>
      <c r="M37" s="101">
        <f t="shared" ca="1" si="4"/>
        <v>0</v>
      </c>
      <c r="N37" s="101">
        <f t="shared" ca="1" si="4"/>
        <v>0</v>
      </c>
      <c r="O37" s="1"/>
      <c r="P37" s="1"/>
      <c r="Q37" s="1"/>
    </row>
    <row r="38" spans="1:17" x14ac:dyDescent="0.35">
      <c r="A38" s="1"/>
      <c r="B38" s="96" t="s">
        <v>59</v>
      </c>
      <c r="C38" s="96"/>
      <c r="D38" s="96"/>
      <c r="E38" s="197"/>
      <c r="F38" s="117"/>
      <c r="G38" s="117"/>
      <c r="H38" s="117"/>
      <c r="I38" s="117"/>
      <c r="J38" s="117"/>
      <c r="K38" s="117"/>
      <c r="L38" s="117"/>
      <c r="M38" s="117"/>
      <c r="N38" s="117"/>
      <c r="O38" s="1"/>
      <c r="P38" s="1"/>
      <c r="Q38" s="1"/>
    </row>
    <row r="39" spans="1:17" x14ac:dyDescent="0.35">
      <c r="A39" s="1"/>
      <c r="B39" s="228" t="s">
        <v>60</v>
      </c>
      <c r="C39" s="118"/>
      <c r="D39" s="118"/>
      <c r="E39" s="195">
        <v>0</v>
      </c>
      <c r="F39" s="105">
        <f>IF(F$24&lt;=$E$20,E39*(1+F$26),0)</f>
        <v>0</v>
      </c>
      <c r="G39" s="105">
        <f>IF(G$24&lt;=$E$20,F39*(1+G$26),0)</f>
        <v>0</v>
      </c>
      <c r="H39" s="105">
        <f>IF(H$24&lt;=$E$20,G39*(1+H$26),0)</f>
        <v>0</v>
      </c>
      <c r="I39" s="105">
        <f>IF(I$24&lt;=$E$20,H39*(1+I$26),0)</f>
        <v>0</v>
      </c>
      <c r="J39" s="105">
        <f>IF(J$24&lt;=$E$20,I39*(1+J$26),0)</f>
        <v>0</v>
      </c>
      <c r="K39" s="105">
        <f>IF(K$24&lt;=$E$20,J39*(1+K$26),0)</f>
        <v>0</v>
      </c>
      <c r="L39" s="105">
        <f>IF(L$24&lt;=$E$20,K39*(1+L$26),0)</f>
        <v>0</v>
      </c>
      <c r="M39" s="105">
        <f>IF(M$24&lt;=$E$20,L39*(1+M$26),0)</f>
        <v>0</v>
      </c>
      <c r="N39" s="105">
        <f>IF(N$24&lt;=$E$20,M39*(1+N$26),0)</f>
        <v>0</v>
      </c>
      <c r="O39" s="1"/>
      <c r="P39" s="1"/>
      <c r="Q39" s="1"/>
    </row>
    <row r="40" spans="1:17" x14ac:dyDescent="0.35">
      <c r="A40" s="1"/>
      <c r="B40" s="228" t="s">
        <v>61</v>
      </c>
      <c r="C40" s="118"/>
      <c r="D40" s="118"/>
      <c r="E40" s="195">
        <v>0</v>
      </c>
      <c r="F40" s="105">
        <f>IF(F$24&lt;=$E$20,E40*(1+F$26),0)</f>
        <v>0</v>
      </c>
      <c r="G40" s="105">
        <f>IF(G$24&lt;=$E$20,F40*(1+G$26),0)</f>
        <v>0</v>
      </c>
      <c r="H40" s="105">
        <f>IF(H$24&lt;=$E$20,G40*(1+H$26),0)</f>
        <v>0</v>
      </c>
      <c r="I40" s="105">
        <f>IF(I$24&lt;=$E$20,H40*(1+I$26),0)</f>
        <v>0</v>
      </c>
      <c r="J40" s="105">
        <f>IF(J$24&lt;=$E$20,I40*(1+J$26),0)</f>
        <v>0</v>
      </c>
      <c r="K40" s="105">
        <f>IF(K$24&lt;=$E$20,J40*(1+K$26),0)</f>
        <v>0</v>
      </c>
      <c r="L40" s="105">
        <f>IF(L$24&lt;=$E$20,K40*(1+L$26),0)</f>
        <v>0</v>
      </c>
      <c r="M40" s="105">
        <f>IF(M$24&lt;=$E$20,L40*(1+M$26),0)</f>
        <v>0</v>
      </c>
      <c r="N40" s="105">
        <f>IF(N$24&lt;=$E$20,M40*(1+N$26),0)</f>
        <v>0</v>
      </c>
      <c r="O40" s="1"/>
      <c r="P40" s="1"/>
      <c r="Q40" s="1"/>
    </row>
    <row r="41" spans="1:17" x14ac:dyDescent="0.35">
      <c r="A41" s="1"/>
      <c r="B41" s="228" t="s">
        <v>62</v>
      </c>
      <c r="C41" s="118"/>
      <c r="D41" s="118"/>
      <c r="E41" s="195">
        <v>0</v>
      </c>
      <c r="F41" s="105">
        <f>IF(F$24&lt;=$E$20,E41*(1+F$26),0)</f>
        <v>0</v>
      </c>
      <c r="G41" s="105">
        <f>IF(G$24&lt;=$E$20,F41*(1+G$26),0)</f>
        <v>0</v>
      </c>
      <c r="H41" s="105">
        <f>IF(H$24&lt;=$E$20,G41*(1+H$26),0)</f>
        <v>0</v>
      </c>
      <c r="I41" s="105">
        <f>IF(I$24&lt;=$E$20,H41*(1+I$26),0)</f>
        <v>0</v>
      </c>
      <c r="J41" s="105">
        <f>IF(J$24&lt;=$E$20,I41*(1+J$26),0)</f>
        <v>0</v>
      </c>
      <c r="K41" s="105">
        <f>IF(K$24&lt;=$E$20,J41*(1+K$26),0)</f>
        <v>0</v>
      </c>
      <c r="L41" s="105">
        <f>IF(L$24&lt;=$E$20,K41*(1+L$26),0)</f>
        <v>0</v>
      </c>
      <c r="M41" s="105">
        <f>IF(M$24&lt;=$E$20,L41*(1+M$26),0)</f>
        <v>0</v>
      </c>
      <c r="N41" s="105">
        <f>IF(N$24&lt;=$E$20,M41*(1+N$26),0)</f>
        <v>0</v>
      </c>
      <c r="O41" s="1"/>
      <c r="P41" s="1"/>
      <c r="Q41" s="1"/>
    </row>
    <row r="42" spans="1:17" x14ac:dyDescent="0.35">
      <c r="A42" s="1"/>
      <c r="B42" s="228" t="s">
        <v>63</v>
      </c>
      <c r="C42" s="118"/>
      <c r="D42" s="118"/>
      <c r="E42" s="195">
        <v>0</v>
      </c>
      <c r="F42" s="105">
        <f>IF(F$24&lt;=$E$20,E42*(1+F$26),0)</f>
        <v>0</v>
      </c>
      <c r="G42" s="105">
        <f>IF(G$24&lt;=$E$20,F42*(1+G$26),0)</f>
        <v>0</v>
      </c>
      <c r="H42" s="105">
        <f>IF(H$24&lt;=$E$20,G42*(1+H$26),0)</f>
        <v>0</v>
      </c>
      <c r="I42" s="105">
        <f>IF(I$24&lt;=$E$20,H42*(1+I$26),0)</f>
        <v>0</v>
      </c>
      <c r="J42" s="105">
        <f>IF(J$24&lt;=$E$20,I42*(1+J$26),0)</f>
        <v>0</v>
      </c>
      <c r="K42" s="105">
        <f>IF(K$24&lt;=$E$20,J42*(1+K$26),0)</f>
        <v>0</v>
      </c>
      <c r="L42" s="105">
        <f>IF(L$24&lt;=$E$20,K42*(1+L$26),0)</f>
        <v>0</v>
      </c>
      <c r="M42" s="105">
        <f>IF(M$24&lt;=$E$20,L42*(1+M$26),0)</f>
        <v>0</v>
      </c>
      <c r="N42" s="105">
        <f>IF(N$24&lt;=$E$20,M42*(1+N$26),0)</f>
        <v>0</v>
      </c>
      <c r="O42" s="1"/>
      <c r="P42" s="1"/>
      <c r="Q42" s="1"/>
    </row>
    <row r="43" spans="1:17" x14ac:dyDescent="0.35">
      <c r="A43" s="1"/>
      <c r="B43" s="228" t="s">
        <v>64</v>
      </c>
      <c r="C43" s="118"/>
      <c r="D43" s="118"/>
      <c r="E43" s="195">
        <v>0</v>
      </c>
      <c r="F43" s="105">
        <f>IF(F$24&lt;=$E$20,E43*(1+F$26),0)</f>
        <v>0</v>
      </c>
      <c r="G43" s="105">
        <f>IF(G$24&lt;=$E$20,F43*(1+G$26),0)</f>
        <v>0</v>
      </c>
      <c r="H43" s="105">
        <f>IF(H$24&lt;=$E$20,G43*(1+H$26),0)</f>
        <v>0</v>
      </c>
      <c r="I43" s="105">
        <f>IF(I$24&lt;=$E$20,H43*(1+I$26),0)</f>
        <v>0</v>
      </c>
      <c r="J43" s="105">
        <f>IF(J$24&lt;=$E$20,I43*(1+J$26),0)</f>
        <v>0</v>
      </c>
      <c r="K43" s="105">
        <f>IF(K$24&lt;=$E$20,J43*(1+K$26),0)</f>
        <v>0</v>
      </c>
      <c r="L43" s="105">
        <f>IF(L$24&lt;=$E$20,K43*(1+L$26),0)</f>
        <v>0</v>
      </c>
      <c r="M43" s="105">
        <f>IF(M$24&lt;=$E$20,L43*(1+M$26),0)</f>
        <v>0</v>
      </c>
      <c r="N43" s="105">
        <f>IF(N$24&lt;=$E$20,M43*(1+N$26),0)</f>
        <v>0</v>
      </c>
      <c r="O43" s="1"/>
      <c r="P43" s="1"/>
      <c r="Q43" s="1"/>
    </row>
    <row r="44" spans="1:17" x14ac:dyDescent="0.35">
      <c r="A44" s="1"/>
      <c r="B44" s="228" t="s">
        <v>65</v>
      </c>
      <c r="C44" s="118"/>
      <c r="D44" s="118"/>
      <c r="E44" s="195">
        <v>0</v>
      </c>
      <c r="F44" s="105">
        <f>IF(F$24&lt;=$E$20,E44*(1+F$26),0)</f>
        <v>0</v>
      </c>
      <c r="G44" s="105">
        <f>IF(G$24&lt;=$E$20,F44*(1+G$26),0)</f>
        <v>0</v>
      </c>
      <c r="H44" s="105">
        <f>IF(H$24&lt;=$E$20,G44*(1+H$26),0)</f>
        <v>0</v>
      </c>
      <c r="I44" s="105">
        <f>IF(I$24&lt;=$E$20,H44*(1+I$26),0)</f>
        <v>0</v>
      </c>
      <c r="J44" s="105">
        <f>IF(J$24&lt;=$E$20,I44*(1+J$26),0)</f>
        <v>0</v>
      </c>
      <c r="K44" s="105">
        <f>IF(K$24&lt;=$E$20,J44*(1+K$26),0)</f>
        <v>0</v>
      </c>
      <c r="L44" s="105">
        <f>IF(L$24&lt;=$E$20,K44*(1+L$26),0)</f>
        <v>0</v>
      </c>
      <c r="M44" s="105">
        <f>IF(M$24&lt;=$E$20,L44*(1+M$26),0)</f>
        <v>0</v>
      </c>
      <c r="N44" s="105">
        <f>IF(N$24&lt;=$E$20,M44*(1+N$26),0)</f>
        <v>0</v>
      </c>
      <c r="O44" s="1"/>
      <c r="P44" s="1"/>
      <c r="Q44" s="1"/>
    </row>
    <row r="45" spans="1:17" x14ac:dyDescent="0.35">
      <c r="A45" s="1"/>
      <c r="B45" s="228" t="s">
        <v>66</v>
      </c>
      <c r="C45" s="118"/>
      <c r="D45" s="118"/>
      <c r="E45" s="195">
        <v>0</v>
      </c>
      <c r="F45" s="105">
        <f>IF(F$24&lt;=$E$20,E45*(1+F$26),0)</f>
        <v>0</v>
      </c>
      <c r="G45" s="105">
        <f>IF(G$24&lt;=$E$20,F45*(1+G$26),0)</f>
        <v>0</v>
      </c>
      <c r="H45" s="105">
        <f>IF(H$24&lt;=$E$20,G45*(1+H$26),0)</f>
        <v>0</v>
      </c>
      <c r="I45" s="105">
        <f>IF(I$24&lt;=$E$20,H45*(1+I$26),0)</f>
        <v>0</v>
      </c>
      <c r="J45" s="105">
        <f>IF(J$24&lt;=$E$20,I45*(1+J$26),0)</f>
        <v>0</v>
      </c>
      <c r="K45" s="105">
        <f>IF(K$24&lt;=$E$20,J45*(1+K$26),0)</f>
        <v>0</v>
      </c>
      <c r="L45" s="105">
        <f>IF(L$24&lt;=$E$20,K45*(1+L$26),0)</f>
        <v>0</v>
      </c>
      <c r="M45" s="105">
        <f>IF(M$24&lt;=$E$20,L45*(1+M$26),0)</f>
        <v>0</v>
      </c>
      <c r="N45" s="105">
        <f>IF(N$24&lt;=$E$20,M45*(1+N$26),0)</f>
        <v>0</v>
      </c>
      <c r="O45" s="1"/>
      <c r="P45" s="1"/>
      <c r="Q45" s="1"/>
    </row>
    <row r="46" spans="1:17" x14ac:dyDescent="0.35">
      <c r="A46" s="1"/>
      <c r="B46" s="228" t="s">
        <v>67</v>
      </c>
      <c r="C46" s="118"/>
      <c r="D46" s="118"/>
      <c r="E46" s="195">
        <v>0</v>
      </c>
      <c r="F46" s="105">
        <f>IF(F$24&lt;=$E$20,E46*(1+F$26),0)</f>
        <v>0</v>
      </c>
      <c r="G46" s="105">
        <f>IF(G$24&lt;=$E$20,F46*(1+G$26),0)</f>
        <v>0</v>
      </c>
      <c r="H46" s="105">
        <f>IF(H$24&lt;=$E$20,G46*(1+H$26),0)</f>
        <v>0</v>
      </c>
      <c r="I46" s="105">
        <f>IF(I$24&lt;=$E$20,H46*(1+I$26),0)</f>
        <v>0</v>
      </c>
      <c r="J46" s="105">
        <f>IF(J$24&lt;=$E$20,I46*(1+J$26),0)</f>
        <v>0</v>
      </c>
      <c r="K46" s="105">
        <f>IF(K$24&lt;=$E$20,J46*(1+K$26),0)</f>
        <v>0</v>
      </c>
      <c r="L46" s="105">
        <f>IF(L$24&lt;=$E$20,K46*(1+L$26),0)</f>
        <v>0</v>
      </c>
      <c r="M46" s="105">
        <f>IF(M$24&lt;=$E$20,L46*(1+M$26),0)</f>
        <v>0</v>
      </c>
      <c r="N46" s="105">
        <f>IF(N$24&lt;=$E$20,M46*(1+N$26),0)</f>
        <v>0</v>
      </c>
      <c r="O46" s="1"/>
      <c r="P46" s="1"/>
      <c r="Q46" s="1"/>
    </row>
    <row r="47" spans="1:17" x14ac:dyDescent="0.35">
      <c r="A47" s="1"/>
      <c r="B47" s="228" t="s">
        <v>68</v>
      </c>
      <c r="C47" s="118"/>
      <c r="D47" s="118"/>
      <c r="E47" s="195">
        <v>0</v>
      </c>
      <c r="F47" s="105">
        <f>IF(F$24&lt;=$E$20,E47*(1+F$26),0)</f>
        <v>0</v>
      </c>
      <c r="G47" s="105">
        <f>IF(G$24&lt;=$E$20,F47*(1+G$26),0)</f>
        <v>0</v>
      </c>
      <c r="H47" s="105">
        <f>IF(H$24&lt;=$E$20,G47*(1+H$26),0)</f>
        <v>0</v>
      </c>
      <c r="I47" s="105">
        <f>IF(I$24&lt;=$E$20,H47*(1+I$26),0)</f>
        <v>0</v>
      </c>
      <c r="J47" s="105">
        <f>IF(J$24&lt;=$E$20,I47*(1+J$26),0)</f>
        <v>0</v>
      </c>
      <c r="K47" s="105">
        <f>IF(K$24&lt;=$E$20,J47*(1+K$26),0)</f>
        <v>0</v>
      </c>
      <c r="L47" s="105">
        <f>IF(L$24&lt;=$E$20,K47*(1+L$26),0)</f>
        <v>0</v>
      </c>
      <c r="M47" s="105">
        <f>IF(M$24&lt;=$E$20,L47*(1+M$26),0)</f>
        <v>0</v>
      </c>
      <c r="N47" s="105">
        <f>IF(N$24&lt;=$E$20,M47*(1+N$26),0)</f>
        <v>0</v>
      </c>
      <c r="O47" s="1"/>
      <c r="P47" s="1"/>
      <c r="Q47" s="1"/>
    </row>
    <row r="48" spans="1:17" x14ac:dyDescent="0.35">
      <c r="A48" s="1"/>
      <c r="B48" s="228" t="s">
        <v>69</v>
      </c>
      <c r="C48" s="118"/>
      <c r="D48" s="118"/>
      <c r="E48" s="195">
        <v>0</v>
      </c>
      <c r="F48" s="105">
        <f>IF(F$24&lt;=$E$20,E48*(1+F$26),0)</f>
        <v>0</v>
      </c>
      <c r="G48" s="105">
        <f>IF(G$24&lt;=$E$20,F48*(1+G$26),0)</f>
        <v>0</v>
      </c>
      <c r="H48" s="105">
        <f>IF(H$24&lt;=$E$20,G48*(1+H$26),0)</f>
        <v>0</v>
      </c>
      <c r="I48" s="105">
        <f>IF(I$24&lt;=$E$20,H48*(1+I$26),0)</f>
        <v>0</v>
      </c>
      <c r="J48" s="105">
        <f>IF(J$24&lt;=$E$20,I48*(1+J$26),0)</f>
        <v>0</v>
      </c>
      <c r="K48" s="105">
        <f>IF(K$24&lt;=$E$20,J48*(1+K$26),0)</f>
        <v>0</v>
      </c>
      <c r="L48" s="105">
        <f>IF(L$24&lt;=$E$20,K48*(1+L$26),0)</f>
        <v>0</v>
      </c>
      <c r="M48" s="105">
        <f>IF(M$24&lt;=$E$20,L48*(1+M$26),0)</f>
        <v>0</v>
      </c>
      <c r="N48" s="105">
        <f>IF(N$24&lt;=$E$20,M48*(1+N$26),0)</f>
        <v>0</v>
      </c>
      <c r="O48" s="1"/>
      <c r="P48" s="1"/>
      <c r="Q48" s="1"/>
    </row>
    <row r="49" spans="1:17" x14ac:dyDescent="0.35">
      <c r="A49" s="1"/>
      <c r="B49" s="111" t="s">
        <v>69</v>
      </c>
      <c r="C49" s="119"/>
      <c r="D49" s="119"/>
      <c r="E49" s="195">
        <v>0</v>
      </c>
      <c r="F49" s="105">
        <f>IF(F$24&lt;=$E$20,E49*(1+F$26),0)</f>
        <v>0</v>
      </c>
      <c r="G49" s="105">
        <f>IF(G$24&lt;=$E$20,F49*(1+G$26),0)</f>
        <v>0</v>
      </c>
      <c r="H49" s="105">
        <f>IF(H$24&lt;=$E$20,G49*(1+H$26),0)</f>
        <v>0</v>
      </c>
      <c r="I49" s="105">
        <f>IF(I$24&lt;=$E$20,H49*(1+I$26),0)</f>
        <v>0</v>
      </c>
      <c r="J49" s="105">
        <f>IF(J$24&lt;=$E$20,I49*(1+J$26),0)</f>
        <v>0</v>
      </c>
      <c r="K49" s="105">
        <f>IF(K$24&lt;=$E$20,J49*(1+K$26),0)</f>
        <v>0</v>
      </c>
      <c r="L49" s="105">
        <f>IF(L$24&lt;=$E$20,K49*(1+L$26),0)</f>
        <v>0</v>
      </c>
      <c r="M49" s="105">
        <f>IF(M$24&lt;=$E$20,L49*(1+M$26),0)</f>
        <v>0</v>
      </c>
      <c r="N49" s="105">
        <f>IF(N$24&lt;=$E$20,M49*(1+N$26),0)</f>
        <v>0</v>
      </c>
      <c r="O49" s="1"/>
      <c r="P49" s="1"/>
      <c r="Q49" s="1"/>
    </row>
    <row r="50" spans="1:17" x14ac:dyDescent="0.35">
      <c r="A50" s="1"/>
      <c r="B50" s="113" t="s">
        <v>69</v>
      </c>
      <c r="C50" s="120"/>
      <c r="D50" s="120"/>
      <c r="E50" s="196">
        <v>0</v>
      </c>
      <c r="F50" s="105">
        <f>IF(F$24&lt;=$E$20,E50*(1+F$26),0)</f>
        <v>0</v>
      </c>
      <c r="G50" s="105">
        <f>IF(G$24&lt;=$E$20,F50*(1+G$26),0)</f>
        <v>0</v>
      </c>
      <c r="H50" s="105">
        <f>IF(H$24&lt;=$E$20,G50*(1+H$26),0)</f>
        <v>0</v>
      </c>
      <c r="I50" s="105">
        <f>IF(I$24&lt;=$E$20,H50*(1+I$26),0)</f>
        <v>0</v>
      </c>
      <c r="J50" s="105">
        <f>IF(J$24&lt;=$E$20,I50*(1+J$26),0)</f>
        <v>0</v>
      </c>
      <c r="K50" s="105">
        <f>IF(K$24&lt;=$E$20,J50*(1+K$26),0)</f>
        <v>0</v>
      </c>
      <c r="L50" s="105">
        <f>IF(L$24&lt;=$E$20,K50*(1+L$26),0)</f>
        <v>0</v>
      </c>
      <c r="M50" s="105">
        <f>IF(M$24&lt;=$E$20,L50*(1+M$26),0)</f>
        <v>0</v>
      </c>
      <c r="N50" s="105">
        <f>IF(N$24&lt;=$E$20,M50*(1+N$26),0)</f>
        <v>0</v>
      </c>
      <c r="O50" s="1"/>
      <c r="P50" s="1"/>
      <c r="Q50" s="1"/>
    </row>
    <row r="51" spans="1:17" x14ac:dyDescent="0.35">
      <c r="A51" s="1"/>
      <c r="B51" s="121" t="s">
        <v>70</v>
      </c>
      <c r="C51" s="121"/>
      <c r="D51" s="121"/>
      <c r="E51" s="194">
        <f>SUM(E39:E50)</f>
        <v>0</v>
      </c>
      <c r="F51" s="110">
        <f t="shared" ref="F51:N51" si="5">SUM(F39:F50)</f>
        <v>0</v>
      </c>
      <c r="G51" s="110">
        <f t="shared" si="5"/>
        <v>0</v>
      </c>
      <c r="H51" s="110">
        <f t="shared" si="5"/>
        <v>0</v>
      </c>
      <c r="I51" s="110">
        <f t="shared" si="5"/>
        <v>0</v>
      </c>
      <c r="J51" s="110">
        <f t="shared" si="5"/>
        <v>0</v>
      </c>
      <c r="K51" s="110">
        <f t="shared" si="5"/>
        <v>0</v>
      </c>
      <c r="L51" s="110">
        <f t="shared" si="5"/>
        <v>0</v>
      </c>
      <c r="M51" s="110">
        <f t="shared" si="5"/>
        <v>0</v>
      </c>
      <c r="N51" s="110">
        <f t="shared" si="5"/>
        <v>0</v>
      </c>
      <c r="O51" s="1"/>
      <c r="P51" s="1"/>
      <c r="Q51" s="1"/>
    </row>
    <row r="52" spans="1:17" x14ac:dyDescent="0.35">
      <c r="A52" s="1"/>
      <c r="B52" s="122" t="s">
        <v>71</v>
      </c>
      <c r="C52" s="122"/>
      <c r="D52" s="122"/>
      <c r="E52" s="123">
        <f t="shared" ref="E52:N52" ca="1" si="6">IFERROR(E51/E37,0)</f>
        <v>0</v>
      </c>
      <c r="F52" s="123">
        <f t="shared" ca="1" si="6"/>
        <v>0</v>
      </c>
      <c r="G52" s="123">
        <f t="shared" ca="1" si="6"/>
        <v>0</v>
      </c>
      <c r="H52" s="123">
        <f t="shared" ca="1" si="6"/>
        <v>0</v>
      </c>
      <c r="I52" s="123">
        <f t="shared" ca="1" si="6"/>
        <v>0</v>
      </c>
      <c r="J52" s="123">
        <f t="shared" ca="1" si="6"/>
        <v>0</v>
      </c>
      <c r="K52" s="123">
        <f t="shared" ca="1" si="6"/>
        <v>0</v>
      </c>
      <c r="L52" s="123">
        <f t="shared" ca="1" si="6"/>
        <v>0</v>
      </c>
      <c r="M52" s="123">
        <f t="shared" ca="1" si="6"/>
        <v>0</v>
      </c>
      <c r="N52" s="123">
        <f t="shared" ca="1" si="6"/>
        <v>0</v>
      </c>
      <c r="O52" s="1"/>
      <c r="P52" s="1"/>
      <c r="Q52" s="1"/>
    </row>
    <row r="53" spans="1:17" ht="15" thickBot="1" x14ac:dyDescent="0.4">
      <c r="A53" s="1"/>
      <c r="B53" s="124"/>
      <c r="C53" s="124"/>
      <c r="D53" s="124"/>
      <c r="E53" s="125"/>
      <c r="F53" s="125"/>
      <c r="G53" s="125"/>
      <c r="H53" s="125"/>
      <c r="I53" s="125"/>
      <c r="J53" s="125"/>
      <c r="K53" s="125"/>
      <c r="L53" s="125"/>
      <c r="M53" s="125"/>
      <c r="N53" s="126"/>
      <c r="O53" s="1"/>
      <c r="P53" s="1"/>
      <c r="Q53" s="1"/>
    </row>
    <row r="54" spans="1:17" ht="15" thickBot="1" x14ac:dyDescent="0.4">
      <c r="A54" s="1"/>
      <c r="B54" s="127" t="s">
        <v>72</v>
      </c>
      <c r="C54" s="128"/>
      <c r="D54" s="128"/>
      <c r="E54" s="198">
        <f t="shared" ref="E54:L54" ca="1" si="7">E37-E51</f>
        <v>0</v>
      </c>
      <c r="F54" s="129">
        <f t="shared" ca="1" si="7"/>
        <v>0</v>
      </c>
      <c r="G54" s="129">
        <f t="shared" ca="1" si="7"/>
        <v>0</v>
      </c>
      <c r="H54" s="129">
        <f t="shared" ca="1" si="7"/>
        <v>0</v>
      </c>
      <c r="I54" s="129">
        <f t="shared" ca="1" si="7"/>
        <v>0</v>
      </c>
      <c r="J54" s="129">
        <f t="shared" ca="1" si="7"/>
        <v>0</v>
      </c>
      <c r="K54" s="129">
        <f t="shared" ca="1" si="7"/>
        <v>0</v>
      </c>
      <c r="L54" s="129">
        <f t="shared" ca="1" si="7"/>
        <v>0</v>
      </c>
      <c r="M54" s="129">
        <f ca="1">M37-M51</f>
        <v>0</v>
      </c>
      <c r="N54" s="130">
        <f ca="1">N37-N51</f>
        <v>0</v>
      </c>
      <c r="O54" s="1"/>
      <c r="P54" s="1"/>
      <c r="Q54" s="1"/>
    </row>
    <row r="55" spans="1:17" x14ac:dyDescent="0.35">
      <c r="A55" s="1"/>
      <c r="B55" s="116"/>
      <c r="C55" s="116"/>
      <c r="D55" s="116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"/>
      <c r="P55" s="1"/>
      <c r="Q55" s="1"/>
    </row>
    <row r="56" spans="1:17" ht="18.5" x14ac:dyDescent="0.35">
      <c r="A56" s="1"/>
      <c r="B56" s="131" t="s">
        <v>73</v>
      </c>
      <c r="C56" s="116"/>
      <c r="D56" s="116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"/>
      <c r="P56" s="1"/>
      <c r="Q56" s="1"/>
    </row>
    <row r="57" spans="1:17" x14ac:dyDescent="0.35">
      <c r="A57" s="1"/>
      <c r="B57" s="96" t="s">
        <v>74</v>
      </c>
      <c r="C57" s="96"/>
      <c r="D57" s="96"/>
      <c r="E57" s="190">
        <v>1</v>
      </c>
      <c r="F57" s="97">
        <f>E57+1</f>
        <v>2</v>
      </c>
      <c r="G57" s="97">
        <f>F57+1</f>
        <v>3</v>
      </c>
      <c r="H57" s="97">
        <f>G57+1</f>
        <v>4</v>
      </c>
      <c r="I57" s="97">
        <f t="shared" ref="I57:N57" si="8">H57+1</f>
        <v>5</v>
      </c>
      <c r="J57" s="97">
        <f t="shared" si="8"/>
        <v>6</v>
      </c>
      <c r="K57" s="97">
        <f t="shared" si="8"/>
        <v>7</v>
      </c>
      <c r="L57" s="97">
        <f t="shared" si="8"/>
        <v>8</v>
      </c>
      <c r="M57" s="97">
        <f t="shared" si="8"/>
        <v>9</v>
      </c>
      <c r="N57" s="97">
        <f t="shared" si="8"/>
        <v>10</v>
      </c>
      <c r="O57" s="1"/>
      <c r="P57" s="1"/>
      <c r="Q57" s="1"/>
    </row>
    <row r="58" spans="1:17" x14ac:dyDescent="0.35">
      <c r="A58" s="1"/>
      <c r="B58" s="132" t="s">
        <v>75</v>
      </c>
      <c r="C58" s="132"/>
      <c r="D58" s="133"/>
      <c r="E58" s="199">
        <f t="shared" ref="E58:N58" ca="1" si="9">E54</f>
        <v>0</v>
      </c>
      <c r="F58" s="133">
        <f t="shared" ca="1" si="9"/>
        <v>0</v>
      </c>
      <c r="G58" s="133">
        <f t="shared" ca="1" si="9"/>
        <v>0</v>
      </c>
      <c r="H58" s="133">
        <f t="shared" ca="1" si="9"/>
        <v>0</v>
      </c>
      <c r="I58" s="133">
        <f t="shared" ca="1" si="9"/>
        <v>0</v>
      </c>
      <c r="J58" s="133">
        <f t="shared" ca="1" si="9"/>
        <v>0</v>
      </c>
      <c r="K58" s="133">
        <f t="shared" ca="1" si="9"/>
        <v>0</v>
      </c>
      <c r="L58" s="133">
        <f t="shared" ca="1" si="9"/>
        <v>0</v>
      </c>
      <c r="M58" s="133">
        <f t="shared" ca="1" si="9"/>
        <v>0</v>
      </c>
      <c r="N58" s="133">
        <f t="shared" ca="1" si="9"/>
        <v>0</v>
      </c>
      <c r="O58" s="1"/>
      <c r="P58" s="1"/>
      <c r="Q58" s="1"/>
    </row>
    <row r="59" spans="1:17" x14ac:dyDescent="0.35">
      <c r="A59" s="1"/>
      <c r="B59" s="134" t="s">
        <v>76</v>
      </c>
      <c r="C59" s="134"/>
      <c r="D59" s="138">
        <f ca="1">-N18</f>
        <v>0</v>
      </c>
      <c r="E59" s="200">
        <f t="shared" ref="E59:N59" ca="1" si="10">E65</f>
        <v>0</v>
      </c>
      <c r="F59" s="135">
        <f t="shared" ca="1" si="10"/>
        <v>0</v>
      </c>
      <c r="G59" s="135">
        <f t="shared" ca="1" si="10"/>
        <v>0</v>
      </c>
      <c r="H59" s="135">
        <f t="shared" ca="1" si="10"/>
        <v>0</v>
      </c>
      <c r="I59" s="135">
        <f t="shared" ca="1" si="10"/>
        <v>0</v>
      </c>
      <c r="J59" s="135">
        <f t="shared" ca="1" si="10"/>
        <v>0</v>
      </c>
      <c r="K59" s="135">
        <f t="shared" ca="1" si="10"/>
        <v>0</v>
      </c>
      <c r="L59" s="135">
        <f t="shared" ca="1" si="10"/>
        <v>0</v>
      </c>
      <c r="M59" s="135">
        <f t="shared" ca="1" si="10"/>
        <v>0</v>
      </c>
      <c r="N59" s="135">
        <f t="shared" ca="1" si="10"/>
        <v>0</v>
      </c>
      <c r="O59" s="1"/>
      <c r="P59" s="1"/>
      <c r="Q59" s="1"/>
    </row>
    <row r="60" spans="1:17" x14ac:dyDescent="0.35">
      <c r="A60" s="1"/>
      <c r="B60" s="121" t="s">
        <v>77</v>
      </c>
      <c r="C60" s="121"/>
      <c r="D60" s="201">
        <f ca="1">SUM(D58:D59)</f>
        <v>0</v>
      </c>
      <c r="E60" s="202">
        <f t="shared" ref="E60:N60" ca="1" si="11">SUM(E58:E59)</f>
        <v>0</v>
      </c>
      <c r="F60" s="201">
        <f t="shared" ca="1" si="11"/>
        <v>0</v>
      </c>
      <c r="G60" s="201">
        <f t="shared" ca="1" si="11"/>
        <v>0</v>
      </c>
      <c r="H60" s="201">
        <f t="shared" ca="1" si="11"/>
        <v>0</v>
      </c>
      <c r="I60" s="201">
        <f t="shared" ca="1" si="11"/>
        <v>0</v>
      </c>
      <c r="J60" s="201">
        <f t="shared" ca="1" si="11"/>
        <v>0</v>
      </c>
      <c r="K60" s="201">
        <f t="shared" ca="1" si="11"/>
        <v>0</v>
      </c>
      <c r="L60" s="201">
        <f t="shared" ca="1" si="11"/>
        <v>0</v>
      </c>
      <c r="M60" s="201">
        <f t="shared" ca="1" si="11"/>
        <v>0</v>
      </c>
      <c r="N60" s="201">
        <f t="shared" ca="1" si="11"/>
        <v>0</v>
      </c>
      <c r="O60" s="1"/>
      <c r="P60" s="1"/>
      <c r="Q60" s="1"/>
    </row>
    <row r="61" spans="1:17" x14ac:dyDescent="0.35">
      <c r="A61" s="1"/>
      <c r="B61" s="116"/>
      <c r="C61" s="116"/>
      <c r="D61" s="116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"/>
      <c r="P61" s="1"/>
      <c r="Q61" s="1"/>
    </row>
    <row r="62" spans="1:17" x14ac:dyDescent="0.35">
      <c r="A62" s="1"/>
      <c r="B62" s="96" t="s">
        <v>78</v>
      </c>
      <c r="C62" s="96"/>
      <c r="D62" s="96"/>
      <c r="E62" s="197"/>
      <c r="F62" s="117"/>
      <c r="G62" s="117"/>
      <c r="H62" s="117"/>
      <c r="I62" s="117"/>
      <c r="J62" s="117"/>
      <c r="K62" s="117"/>
      <c r="L62" s="117"/>
      <c r="M62" s="117"/>
      <c r="N62" s="117"/>
      <c r="O62" s="1"/>
      <c r="P62" s="1"/>
      <c r="Q62" s="1"/>
    </row>
    <row r="63" spans="1:17" x14ac:dyDescent="0.35">
      <c r="A63" s="1"/>
      <c r="B63" s="132" t="s">
        <v>75</v>
      </c>
      <c r="C63" s="132"/>
      <c r="D63" s="136"/>
      <c r="E63" s="203">
        <f ca="1">E54</f>
        <v>0</v>
      </c>
      <c r="F63" s="137">
        <f t="shared" ref="F63:N63" ca="1" si="12">F54</f>
        <v>0</v>
      </c>
      <c r="G63" s="137">
        <f t="shared" ca="1" si="12"/>
        <v>0</v>
      </c>
      <c r="H63" s="137">
        <f t="shared" ca="1" si="12"/>
        <v>0</v>
      </c>
      <c r="I63" s="137">
        <f t="shared" ca="1" si="12"/>
        <v>0</v>
      </c>
      <c r="J63" s="137">
        <f t="shared" ca="1" si="12"/>
        <v>0</v>
      </c>
      <c r="K63" s="137">
        <f t="shared" ca="1" si="12"/>
        <v>0</v>
      </c>
      <c r="L63" s="137">
        <f t="shared" ca="1" si="12"/>
        <v>0</v>
      </c>
      <c r="M63" s="137">
        <f t="shared" ca="1" si="12"/>
        <v>0</v>
      </c>
      <c r="N63" s="137">
        <f t="shared" ca="1" si="12"/>
        <v>0</v>
      </c>
      <c r="O63" s="1"/>
      <c r="P63" s="1"/>
      <c r="Q63" s="1"/>
    </row>
    <row r="64" spans="1:17" x14ac:dyDescent="0.35">
      <c r="A64" s="1"/>
      <c r="B64" s="132" t="s">
        <v>79</v>
      </c>
      <c r="C64" s="132"/>
      <c r="D64" s="136"/>
      <c r="E64" s="203">
        <f ca="1">IF(E24&gt;$E$20,0,-IF(AND($I$10&gt;D$24*12,$I$10&lt;=E$24*12),((($I$10-D$24*12)/12)*$I$17+(1-($I$10-D$24*12)/12)*$I$18),IF($I$10&gt;E$24*12,$I$17,$I$18))*IF($E$19=0,1,IF(AND(D$24*12&lt;$E$19,E$24*12&gt;=$E$19),($E$19-D$24*12)/12,IF(E$24*12&lt;$E$19,1,0)))
-IF(AND(($J$10+$E$19)&gt;D$24*12,($J$10+$E$19)&lt;=E$24*12),(((($J$10+$E$19)-D$24*12)/12)*$J$17+(1-(($J$10+$E$19)-D$24*12)/12)*$J$18),IF(($J$10+$E$19)&gt;E$24*12,$J$17,$J$18))*IF($E$19=0,0,IF(AND(D$24*12&lt;$E$19,E$24*12&gt;=$E$19),(12-($E$19-D$24*12))/12,IF(E$24*12&lt;$E$19,0,1))))</f>
        <v>0</v>
      </c>
      <c r="F64" s="137">
        <f ca="1">IF(F24&gt;$E$20,0,-IF(AND($I$10&gt;E$24*12,$I$10&lt;=F$24*12),((($I$10-E$24*12)/12)*$I$17+(1-($I$10-E$24*12)/12)*$I$18),IF($I$10&gt;F$24*12,$I$17,$I$18))*IF($E$19=0,1,IF(AND(E$24*12&lt;$E$19,F$24*12&gt;=$E$19),($E$19-E$24*12)/12,IF(F$24*12&lt;$E$19,1,0)))
-IF(AND(($J$10+$E$19)&gt;E$24*12,($J$10+$E$19)&lt;=F$24*12),(((($J$10+$E$19)-E$24*12)/12)*$J$17+(1-(($J$10+$E$19)-E$24*12)/12)*$J$18),IF(($J$10+$E$19)&gt;F$24*12,$J$17,$J$18))*IF($E$19=0,0,IF(AND(E$24*12&lt;$E$19,F$24*12&gt;=$E$19),(12-($E$19-E$24*12))/12,IF(F$24*12&lt;$E$19,0,1))))</f>
        <v>0</v>
      </c>
      <c r="G64" s="137">
        <f ca="1">IF(G24&gt;$E$20,0,-IF(AND($I$10&gt;F$24*12,$I$10&lt;=G$24*12),((($I$10-F$24*12)/12)*$I$17+(1-($I$10-F$24*12)/12)*$I$18),IF($I$10&gt;G$24*12,$I$17,$I$18))*IF($E$19=0,1,IF(AND(F$24*12&lt;$E$19,G$24*12&gt;=$E$19),($E$19-F$24*12)/12,IF(G$24*12&lt;$E$19,1,0)))
-IF(AND(($J$10+$E$19)&gt;F$24*12,($J$10+$E$19)&lt;=G$24*12),(((($J$10+$E$19)-F$24*12)/12)*$J$17+(1-(($J$10+$E$19)-F$24*12)/12)*$J$18),IF(($J$10+$E$19)&gt;G$24*12,$J$17,$J$18))*IF($E$19=0,0,IF(AND(F$24*12&lt;$E$19,G$24*12&gt;=$E$19),(12-($E$19-F$24*12))/12,IF(G$24*12&lt;$E$19,0,1))))</f>
        <v>0</v>
      </c>
      <c r="H64" s="137">
        <f ca="1">IF(H24&gt;$E$20,0,-IF(AND($I$10&gt;G$24*12,$I$10&lt;=H$24*12),((($I$10-G$24*12)/12)*$I$17+(1-($I$10-G$24*12)/12)*$I$18),IF($I$10&gt;H$24*12,$I$17,$I$18))*IF($E$19=0,1,IF(AND(G$24*12&lt;$E$19,H$24*12&gt;=$E$19),($E$19-G$24*12)/12,IF(H$24*12&lt;$E$19,1,0)))
-IF(AND(($J$10+$E$19)&gt;G$24*12,($J$10+$E$19)&lt;=H$24*12),(((($J$10+$E$19)-G$24*12)/12)*$J$17+(1-(($J$10+$E$19)-G$24*12)/12)*$J$18),IF(($J$10+$E$19)&gt;H$24*12,$J$17,$J$18))*IF($E$19=0,0,IF(AND(G$24*12&lt;$E$19,H$24*12&gt;=$E$19),(12-($E$19-G$24*12))/12,IF(H$24*12&lt;$E$19,0,1))))</f>
        <v>0</v>
      </c>
      <c r="I64" s="137">
        <f ca="1">IF(I24&gt;$E$20,0,-IF(AND($I$10&gt;H$24*12,$I$10&lt;=I$24*12),((($I$10-H$24*12)/12)*$I$17+(1-($I$10-H$24*12)/12)*$I$18),IF($I$10&gt;I$24*12,$I$17,$I$18))*IF($E$19=0,1,IF(AND(H$24*12&lt;$E$19,I$24*12&gt;=$E$19),($E$19-H$24*12)/12,IF(I$24*12&lt;$E$19,1,0)))
-IF(AND(($J$10+$E$19)&gt;H$24*12,($J$10+$E$19)&lt;=I$24*12),(((($J$10+$E$19)-H$24*12)/12)*$J$17+(1-(($J$10+$E$19)-H$24*12)/12)*$J$18),IF(($J$10+$E$19)&gt;I$24*12,$J$17,$J$18))*IF($E$19=0,0,IF(AND(H$24*12&lt;$E$19,I$24*12&gt;=$E$19),(12-($E$19-H$24*12))/12,IF(I$24*12&lt;$E$19,0,1))))</f>
        <v>0</v>
      </c>
      <c r="J64" s="137">
        <f ca="1">IF(J24&gt;$E$20,0,-IF(AND($I$10&gt;I$24*12,$I$10&lt;=J$24*12),((($I$10-I$24*12)/12)*$I$17+(1-($I$10-I$24*12)/12)*$I$18),IF($I$10&gt;J$24*12,$I$17,$I$18))*IF($E$19=0,1,IF(AND(I$24*12&lt;$E$19,J$24*12&gt;=$E$19),($E$19-I$24*12)/12,IF(J$24*12&lt;$E$19,1,0)))
-IF(AND(($J$10+$E$19)&gt;I$24*12,($J$10+$E$19)&lt;=J$24*12),(((($J$10+$E$19)-I$24*12)/12)*$J$17+(1-(($J$10+$E$19)-I$24*12)/12)*$J$18),IF(($J$10+$E$19)&gt;J$24*12,$J$17,$J$18))*IF($E$19=0,0,IF(AND(I$24*12&lt;$E$19,J$24*12&gt;=$E$19),(12-($E$19-I$24*12))/12,IF(J$24*12&lt;$E$19,0,1))))</f>
        <v>0</v>
      </c>
      <c r="K64" s="137">
        <f ca="1">IF(K24&gt;$E$20,0,-IF(AND($I$10&gt;J$24*12,$I$10&lt;=K$24*12),((($I$10-J$24*12)/12)*$I$17+(1-($I$10-J$24*12)/12)*$I$18),IF($I$10&gt;K$24*12,$I$17,$I$18))*IF($E$19=0,1,IF(AND(J$24*12&lt;$E$19,K$24*12&gt;=$E$19),($E$19-J$24*12)/12,IF(K$24*12&lt;$E$19,1,0)))
-IF(AND(($J$10+$E$19)&gt;J$24*12,($J$10+$E$19)&lt;=K$24*12),(((($J$10+$E$19)-J$24*12)/12)*$J$17+(1-(($J$10+$E$19)-J$24*12)/12)*$J$18),IF(($J$10+$E$19)&gt;K$24*12,$J$17,$J$18))*IF($E$19=0,0,IF(AND(J$24*12&lt;$E$19,K$24*12&gt;=$E$19),(12-($E$19-J$24*12))/12,IF(K$24*12&lt;$E$19,0,1))))</f>
        <v>0</v>
      </c>
      <c r="L64" s="137">
        <f>IF(L24&gt;$E$20,0,-IF(AND($I$10&gt;K$24*12,$I$10&lt;=L$24*12),((($I$10-K$24*12)/12)*$I$17+(1-($I$10-K$24*12)/12)*$I$18),IF($I$10&gt;L$24*12,$I$17,$I$18))*IF($E$19=0,1,IF(AND(K$24*12&lt;$E$19,L$24*12&gt;=$E$19),($E$19-K$24*12)/12,IF(L$24*12&lt;$E$19,1,0)))
-IF(AND(($J$10+$E$19)&gt;K$24*12,($J$10+$E$19)&lt;=L$24*12),(((($J$10+$E$19)-K$24*12)/12)*$J$17+(1-(($J$10+$E$19)-K$24*12)/12)*$J$18),IF(($J$10+$E$19)&gt;L$24*12,$J$17,$J$18))*IF($E$19=0,0,IF(AND(K$24*12&lt;$E$19,L$24*12&gt;=$E$19),(12-($E$19-K$24*12))/12,IF(L$24*12&lt;$E$19,0,1))))</f>
        <v>0</v>
      </c>
      <c r="M64" s="137">
        <f>IF(M24&gt;$E$20,0,-IF(AND($I$10&gt;L$24*12,$I$10&lt;=M$24*12),((($I$10-L$24*12)/12)*$I$17+(1-($I$10-L$24*12)/12)*$I$18),IF($I$10&gt;M$24*12,$I$17,$I$18))*IF($E$19=0,1,IF(AND(L$24*12&lt;$E$19,M$24*12&gt;=$E$19),($E$19-L$24*12)/12,IF(M$24*12&lt;$E$19,1,0)))
-IF(AND(($J$10+$E$19)&gt;L$24*12,($J$10+$E$19)&lt;=M$24*12),(((($J$10+$E$19)-L$24*12)/12)*$J$17+(1-(($J$10+$E$19)-L$24*12)/12)*$J$18),IF(($J$10+$E$19)&gt;M$24*12,$J$17,$J$18))*IF($E$19=0,0,IF(AND(L$24*12&lt;$E$19,M$24*12&gt;=$E$19),(12-($E$19-L$24*12))/12,IF(M$24*12&lt;$E$19,0,1))))</f>
        <v>0</v>
      </c>
      <c r="N64" s="137">
        <f>IF(N24&gt;$E$20,0,-IF(AND($I$10&gt;M$24*12,$I$10&lt;=N$24*12),((($I$10-M$24*12)/12)*$I$17+(1-($I$10-M$24*12)/12)*$I$18),IF($I$10&gt;N$24*12,$I$17,$I$18))*IF($E$19=0,1,IF(AND(M$24*12&lt;$E$19,N$24*12&gt;=$E$19),($E$19-M$24*12)/12,IF(N$24*12&lt;$E$19,1,0)))
-IF(AND(($J$10+$E$19)&gt;M$24*12,($J$10+$E$19)&lt;=N$24*12),(((($J$10+$E$19)-M$24*12)/12)*$J$17+(1-(($J$10+$E$19)-M$24*12)/12)*$J$18),IF(($J$10+$E$19)&gt;N$24*12,$J$17,$J$18))*IF($E$19=0,0,IF(AND(M$24*12&lt;$E$19,N$24*12&gt;=$E$19),(12-($E$19-M$24*12))/12,IF(N$24*12&lt;$E$19,0,1))))</f>
        <v>0</v>
      </c>
      <c r="O64" s="1"/>
      <c r="P64" s="1"/>
      <c r="Q64" s="1"/>
    </row>
    <row r="65" spans="1:17" x14ac:dyDescent="0.35">
      <c r="A65" s="1"/>
      <c r="B65" s="132" t="s">
        <v>76</v>
      </c>
      <c r="C65" s="132"/>
      <c r="D65" s="133">
        <f ca="1">D59</f>
        <v>0</v>
      </c>
      <c r="E65" s="203">
        <f ca="1">IF(AND($E$20&gt;D$24,$E$20&lt;=E$24),(OFFSET($D$54,0,$E$20)/$E$12)*(1-$E$13),0)</f>
        <v>0</v>
      </c>
      <c r="F65" s="137">
        <f ca="1">IF(AND($E$20&gt;E$24,$E$20&lt;=F$24),(OFFSET($D$54,0,$E$20)/$E$12)*(1-$E$13),0)</f>
        <v>0</v>
      </c>
      <c r="G65" s="137">
        <f ca="1">IF(AND($E$20&gt;F$24,$E$20&lt;=G$24),(OFFSET($D$54,0,$E$20)/$E$12)*(1-$E$13),0)</f>
        <v>0</v>
      </c>
      <c r="H65" s="137">
        <f ca="1">IF(AND($E$20&gt;G$24,$E$20&lt;=H$24),(OFFSET($D$54,0,$E$20)/$E$12)*(1-$E$13),0)</f>
        <v>0</v>
      </c>
      <c r="I65" s="137">
        <f ca="1">IF(AND($E$20&gt;H$24,$E$20&lt;=I$24),(OFFSET($D$54,0,$E$20)/$E$12)*(1-$E$13),0)</f>
        <v>0</v>
      </c>
      <c r="J65" s="137">
        <f ca="1">IF(AND($E$20&gt;I$24,$E$20&lt;=J$24),(OFFSET($D$54,0,$E$20)/$E$12)*(1-$E$13),0)</f>
        <v>0</v>
      </c>
      <c r="K65" s="137">
        <f ca="1">IF(AND($E$20&gt;J$24,$E$20&lt;=K$24),(OFFSET($D$54,0,$E$20)/$E$12)*(1-$E$13),0)</f>
        <v>0</v>
      </c>
      <c r="L65" s="137">
        <f ca="1">IF(AND($E$20&gt;K$24,$E$20&lt;=L$24),(OFFSET($D$54,0,$E$20)/$E$12)*(1-$E$13),0)</f>
        <v>0</v>
      </c>
      <c r="M65" s="137">
        <f ca="1">IF(AND($E$20&gt;L$24,$E$20&lt;=M$24),(OFFSET($D$54,0,$E$20)/$E$12)*(1-$E$13),0)</f>
        <v>0</v>
      </c>
      <c r="N65" s="137">
        <f ca="1">IF(AND($E$20&gt;M$24,$E$20&lt;=N$24),(OFFSET($D$54,0,$E$20)/$E$12)*(1-$E$13),0)</f>
        <v>0</v>
      </c>
      <c r="O65" s="1"/>
      <c r="P65" s="1"/>
      <c r="Q65" s="1"/>
    </row>
    <row r="66" spans="1:17" x14ac:dyDescent="0.35">
      <c r="A66" s="1"/>
      <c r="B66" s="134" t="s">
        <v>80</v>
      </c>
      <c r="C66" s="134"/>
      <c r="D66" s="61">
        <f ca="1">I21</f>
        <v>0</v>
      </c>
      <c r="E66" s="204">
        <f>IF(AND($E$20&gt;D$24,$E$20&lt;=E$24),IF($E$19=0,-$I$22,-$J$22),0)+IF(AND($E$19&gt;D$24*12,$E$19&lt;=E$24*12),$J$21,0)</f>
        <v>0</v>
      </c>
      <c r="F66" s="138">
        <f>IF(AND($E$20&gt;E$24,$E$20&lt;=F$24),IF($E$19=0,-$I$22,-$J$22),0)+IF(AND($E$19&gt;E$24*12,$E$19&lt;=F$24*12),$J$21,0)</f>
        <v>0</v>
      </c>
      <c r="G66" s="138">
        <f ca="1">IF(AND($E$20&gt;F$24,$E$20&lt;=G$24),IF($E$19=0,-$I$22,-$J$22),0)+IF(AND($E$19&gt;F$24*12,$E$19&lt;=G$24*12),$J$21,0)</f>
        <v>0</v>
      </c>
      <c r="H66" s="138">
        <f>IF(AND($E$20&gt;G$24,$E$20&lt;=H$24),IF($E$19=0,-$I$22,-$J$22),0)+IF(AND($E$19&gt;G$24*12,$E$19&lt;=H$24*12),$J$21,0)</f>
        <v>0</v>
      </c>
      <c r="I66" s="138">
        <f>IF(AND($E$20&gt;H$24,$E$20&lt;=I$24),IF($E$19=0,-$I$22,-$J$22),0)+IF(AND($E$19&gt;H$24*12,$E$19&lt;=I$24*12),$J$21,0)</f>
        <v>0</v>
      </c>
      <c r="J66" s="138">
        <f>IF(AND($E$20&gt;I$24,$E$20&lt;=J$24),IF($E$19=0,-$I$22,-$J$22),0)+IF(AND($E$19&gt;I$24*12,$E$19&lt;=J$24*12),$J$21,0)</f>
        <v>0</v>
      </c>
      <c r="K66" s="138">
        <f ca="1">IF(AND($E$20&gt;J$24,$E$20&lt;=K$24),IF($E$19=0,-$I$22,-$J$22),0)+IF(AND($E$19&gt;J$24*12,$E$19&lt;=K$24*12),$J$21,0)</f>
        <v>0</v>
      </c>
      <c r="L66" s="138">
        <f>IF(AND($E$20&gt;K$24,$E$20&lt;=L$24),IF($E$19=0,-$I$22,-$J$22),0)+IF(AND($E$19&gt;K$24*12,$E$19&lt;=L$24*12),$J$21,0)</f>
        <v>0</v>
      </c>
      <c r="M66" s="138">
        <f>IF(AND($E$20&gt;L$24,$E$20&lt;=M$24),IF($E$19=0,-$I$22,-$J$22),0)+IF(AND($E$19&gt;L$24*12,$E$19&lt;=M$24*12),$J$21,0)</f>
        <v>0</v>
      </c>
      <c r="N66" s="138">
        <f>IF(AND($E$20&gt;M$24,$E$20&lt;=N$24),IF($E$19=0,-$I$22,-$J$22),0)+IF(AND($E$19&gt;M$24*12,$E$19&lt;=N$24*12),$J$21,0)</f>
        <v>0</v>
      </c>
      <c r="O66" s="1"/>
      <c r="P66" s="1"/>
      <c r="Q66" s="1"/>
    </row>
    <row r="67" spans="1:17" x14ac:dyDescent="0.35">
      <c r="A67" s="1"/>
      <c r="B67" s="121" t="s">
        <v>77</v>
      </c>
      <c r="C67" s="121"/>
      <c r="D67" s="205">
        <f t="shared" ref="D67:N67" ca="1" si="13">SUM(D63:D66)</f>
        <v>0</v>
      </c>
      <c r="E67" s="206">
        <f t="shared" ca="1" si="13"/>
        <v>0</v>
      </c>
      <c r="F67" s="205">
        <f t="shared" ca="1" si="13"/>
        <v>0</v>
      </c>
      <c r="G67" s="205">
        <f t="shared" ca="1" si="13"/>
        <v>0</v>
      </c>
      <c r="H67" s="205">
        <f t="shared" ca="1" si="13"/>
        <v>0</v>
      </c>
      <c r="I67" s="205">
        <f t="shared" ca="1" si="13"/>
        <v>0</v>
      </c>
      <c r="J67" s="205">
        <f t="shared" ca="1" si="13"/>
        <v>0</v>
      </c>
      <c r="K67" s="205">
        <f t="shared" ca="1" si="13"/>
        <v>0</v>
      </c>
      <c r="L67" s="205">
        <f t="shared" ca="1" si="13"/>
        <v>0</v>
      </c>
      <c r="M67" s="205">
        <f t="shared" ca="1" si="13"/>
        <v>0</v>
      </c>
      <c r="N67" s="205">
        <f t="shared" ca="1" si="13"/>
        <v>0</v>
      </c>
      <c r="O67" s="1"/>
      <c r="P67" s="1"/>
      <c r="Q67" s="1"/>
    </row>
    <row r="68" spans="1:17" x14ac:dyDescent="0.35">
      <c r="A68" s="1"/>
      <c r="B68" s="139" t="s">
        <v>29</v>
      </c>
      <c r="C68" s="140"/>
      <c r="D68" s="140"/>
      <c r="E68" s="141" t="str">
        <f ca="1">IFERROR(-E63/E64,"")</f>
        <v/>
      </c>
      <c r="F68" s="141" t="str">
        <f t="shared" ref="F68:N68" ca="1" si="14">IFERROR(-F63/F64,"")</f>
        <v/>
      </c>
      <c r="G68" s="141" t="str">
        <f t="shared" ca="1" si="14"/>
        <v/>
      </c>
      <c r="H68" s="141" t="str">
        <f t="shared" ca="1" si="14"/>
        <v/>
      </c>
      <c r="I68" s="141" t="str">
        <f t="shared" ca="1" si="14"/>
        <v/>
      </c>
      <c r="J68" s="141" t="str">
        <f t="shared" ca="1" si="14"/>
        <v/>
      </c>
      <c r="K68" s="141" t="str">
        <f t="shared" ca="1" si="14"/>
        <v/>
      </c>
      <c r="L68" s="141" t="str">
        <f t="shared" ca="1" si="14"/>
        <v/>
      </c>
      <c r="M68" s="141" t="str">
        <f t="shared" ca="1" si="14"/>
        <v/>
      </c>
      <c r="N68" s="141" t="str">
        <f t="shared" ca="1" si="14"/>
        <v/>
      </c>
      <c r="O68" s="1"/>
      <c r="P68" s="1"/>
      <c r="Q68" s="1"/>
    </row>
    <row r="69" spans="1:17" x14ac:dyDescent="0.35">
      <c r="A69" s="1"/>
      <c r="B69" s="116"/>
      <c r="C69" s="116"/>
      <c r="D69" s="116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"/>
      <c r="P69" s="1"/>
      <c r="Q69" s="1"/>
    </row>
    <row r="70" spans="1:17" ht="18.5" x14ac:dyDescent="0.35">
      <c r="A70" s="1"/>
      <c r="B70" s="142" t="s">
        <v>81</v>
      </c>
      <c r="C70" s="116"/>
      <c r="D70" s="116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"/>
      <c r="P70" s="1"/>
      <c r="Q70" s="1"/>
    </row>
    <row r="71" spans="1:17" x14ac:dyDescent="0.35">
      <c r="A71" s="1"/>
      <c r="B71" s="143" t="s">
        <v>82</v>
      </c>
      <c r="C71" s="143"/>
      <c r="D71" s="143"/>
      <c r="E71" s="207">
        <v>1</v>
      </c>
      <c r="F71" s="144">
        <f>E71+1</f>
        <v>2</v>
      </c>
      <c r="G71" s="144">
        <f>F71+1</f>
        <v>3</v>
      </c>
      <c r="H71" s="144">
        <f>G71+1</f>
        <v>4</v>
      </c>
      <c r="I71" s="144">
        <f t="shared" ref="I71:N71" si="15">H71+1</f>
        <v>5</v>
      </c>
      <c r="J71" s="144">
        <f t="shared" si="15"/>
        <v>6</v>
      </c>
      <c r="K71" s="144">
        <f t="shared" si="15"/>
        <v>7</v>
      </c>
      <c r="L71" s="144">
        <f t="shared" si="15"/>
        <v>8</v>
      </c>
      <c r="M71" s="144">
        <f t="shared" si="15"/>
        <v>9</v>
      </c>
      <c r="N71" s="144">
        <f t="shared" si="15"/>
        <v>10</v>
      </c>
      <c r="O71" s="1"/>
      <c r="P71" s="1"/>
      <c r="Q71" s="1"/>
    </row>
    <row r="72" spans="1:17" x14ac:dyDescent="0.35">
      <c r="A72" s="1"/>
      <c r="B72" s="145" t="s">
        <v>83</v>
      </c>
      <c r="C72" s="146" t="s">
        <v>6</v>
      </c>
      <c r="D72" s="147">
        <f t="shared" ref="D72:N72" ca="1" si="16">IF($C$72="Leveraged",D67,D60)</f>
        <v>0</v>
      </c>
      <c r="E72" s="208">
        <f t="shared" ca="1" si="16"/>
        <v>0</v>
      </c>
      <c r="F72" s="147">
        <f t="shared" ca="1" si="16"/>
        <v>0</v>
      </c>
      <c r="G72" s="147">
        <f t="shared" ca="1" si="16"/>
        <v>0</v>
      </c>
      <c r="H72" s="147">
        <f t="shared" ca="1" si="16"/>
        <v>0</v>
      </c>
      <c r="I72" s="147">
        <f t="shared" ca="1" si="16"/>
        <v>0</v>
      </c>
      <c r="J72" s="147">
        <f t="shared" ca="1" si="16"/>
        <v>0</v>
      </c>
      <c r="K72" s="147">
        <f t="shared" ca="1" si="16"/>
        <v>0</v>
      </c>
      <c r="L72" s="147">
        <f t="shared" ca="1" si="16"/>
        <v>0</v>
      </c>
      <c r="M72" s="147">
        <f t="shared" ca="1" si="16"/>
        <v>0</v>
      </c>
      <c r="N72" s="147">
        <f t="shared" ca="1" si="16"/>
        <v>0</v>
      </c>
      <c r="O72" s="1"/>
      <c r="P72" s="1"/>
      <c r="Q72" s="1"/>
    </row>
    <row r="73" spans="1:17" x14ac:dyDescent="0.35">
      <c r="A73" s="1"/>
      <c r="B73" s="148" t="s">
        <v>84</v>
      </c>
      <c r="C73" s="104">
        <v>0.01</v>
      </c>
      <c r="D73" s="84">
        <f ca="1">$C$73*E8</f>
        <v>0</v>
      </c>
      <c r="E73" s="209">
        <f>IF(E71=$E$20,E65*$C$73,0)+IF(AND($E$19&gt;D$24*12,$E$19&lt;=E$24*12),$J$21,0)*$C$73</f>
        <v>0</v>
      </c>
      <c r="F73" s="136">
        <f>IF(F71=$E$20,F65*$C$73,0)+IF(AND($E$19&gt;E$24*12,$E$19&lt;=F$24*12),$J$21,0)*$C$73</f>
        <v>0</v>
      </c>
      <c r="G73" s="136">
        <f ca="1">IF(G71=$E$20,G65*$C$73,0)+IF(AND($E$19&gt;F$24*12,$E$19&lt;=G$24*12),$J$21,0)*$C$73</f>
        <v>0</v>
      </c>
      <c r="H73" s="136">
        <f>IF(H71=$E$20,H65*$C$73,0)+IF(AND($E$19&gt;G$24*12,$E$19&lt;=H$24*12),$J$21,0)*$C$73</f>
        <v>0</v>
      </c>
      <c r="I73" s="136">
        <f>IF(I71=$E$20,I65*$C$73,0)+IF(AND($E$19&gt;H$24*12,$E$19&lt;=I$24*12),$J$21,0)*$C$73</f>
        <v>0</v>
      </c>
      <c r="J73" s="136">
        <f>IF(J71=$E$20,J65*$C$73,0)+IF(AND($E$19&gt;I$24*12,$E$19&lt;=J$24*12),$J$21,0)*$C$73</f>
        <v>0</v>
      </c>
      <c r="K73" s="136">
        <f ca="1">IF(K71=$E$20,K65*$C$73,0)+IF(AND($E$19&gt;J$24*12,$E$19&lt;=K$24*12),$J$21,0)*$C$73</f>
        <v>0</v>
      </c>
      <c r="L73" s="136">
        <f>IF(L71=$E$20,L65*$C$73,0)+IF(AND($E$19&gt;K$24*12,$E$19&lt;=L$24*12),$J$21,0)*$C$73</f>
        <v>0</v>
      </c>
      <c r="M73" s="136">
        <f>IF(M71=$E$20,M65*$C$73,0)+IF(AND($E$19&gt;L$24*12,$E$19&lt;=M$24*12),$J$21,0)*$C$73</f>
        <v>0</v>
      </c>
      <c r="N73" s="136">
        <f>IF(N71=$E$20,N65*$C$73,0)+IF(AND($E$19&gt;M$24*12,$E$19&lt;=N$24*12),$J$21,0)*$C$73</f>
        <v>0</v>
      </c>
      <c r="O73" s="1"/>
      <c r="P73" s="1"/>
      <c r="Q73" s="1"/>
    </row>
    <row r="74" spans="1:17" x14ac:dyDescent="0.35">
      <c r="A74" s="1"/>
      <c r="B74" s="149" t="s">
        <v>85</v>
      </c>
      <c r="C74" s="108">
        <v>0.01</v>
      </c>
      <c r="D74" s="150">
        <v>0</v>
      </c>
      <c r="E74" s="210">
        <f ca="1">SUM(E63:E64)*$C$74</f>
        <v>0</v>
      </c>
      <c r="F74" s="151">
        <f t="shared" ref="F74:N74" ca="1" si="17">SUM(F63:F64)*$C$74</f>
        <v>0</v>
      </c>
      <c r="G74" s="151">
        <f t="shared" ca="1" si="17"/>
        <v>0</v>
      </c>
      <c r="H74" s="151">
        <f t="shared" ca="1" si="17"/>
        <v>0</v>
      </c>
      <c r="I74" s="151">
        <f t="shared" ca="1" si="17"/>
        <v>0</v>
      </c>
      <c r="J74" s="151">
        <f t="shared" ca="1" si="17"/>
        <v>0</v>
      </c>
      <c r="K74" s="151">
        <f t="shared" ca="1" si="17"/>
        <v>0</v>
      </c>
      <c r="L74" s="151">
        <f t="shared" ca="1" si="17"/>
        <v>0</v>
      </c>
      <c r="M74" s="151">
        <f t="shared" ca="1" si="17"/>
        <v>0</v>
      </c>
      <c r="N74" s="151">
        <f t="shared" ca="1" si="17"/>
        <v>0</v>
      </c>
      <c r="O74" s="1"/>
      <c r="P74" s="1"/>
      <c r="Q74" s="1"/>
    </row>
    <row r="75" spans="1:17" x14ac:dyDescent="0.35">
      <c r="A75" s="1"/>
      <c r="B75" s="152" t="s">
        <v>82</v>
      </c>
      <c r="C75" s="152"/>
      <c r="D75" s="153">
        <f t="shared" ref="D75:N75" ca="1" si="18">SUM(D72:D72)-SUM(D73:D74)</f>
        <v>0</v>
      </c>
      <c r="E75" s="211">
        <f t="shared" ca="1" si="18"/>
        <v>0</v>
      </c>
      <c r="F75" s="153">
        <f t="shared" ca="1" si="18"/>
        <v>0</v>
      </c>
      <c r="G75" s="153">
        <f t="shared" ca="1" si="18"/>
        <v>0</v>
      </c>
      <c r="H75" s="153">
        <f t="shared" ca="1" si="18"/>
        <v>0</v>
      </c>
      <c r="I75" s="153">
        <f t="shared" ca="1" si="18"/>
        <v>0</v>
      </c>
      <c r="J75" s="153">
        <f t="shared" ca="1" si="18"/>
        <v>0</v>
      </c>
      <c r="K75" s="153">
        <f t="shared" ca="1" si="18"/>
        <v>0</v>
      </c>
      <c r="L75" s="153">
        <f t="shared" ca="1" si="18"/>
        <v>0</v>
      </c>
      <c r="M75" s="153">
        <f t="shared" ca="1" si="18"/>
        <v>0</v>
      </c>
      <c r="N75" s="153">
        <f t="shared" ca="1" si="18"/>
        <v>0</v>
      </c>
      <c r="O75" s="1"/>
      <c r="P75" s="1"/>
      <c r="Q75" s="1"/>
    </row>
    <row r="76" spans="1:17" x14ac:dyDescent="0.35">
      <c r="A76" s="1"/>
      <c r="B76" s="154"/>
      <c r="C76" s="154"/>
      <c r="D76" s="154"/>
      <c r="E76" s="155"/>
      <c r="F76" s="156"/>
      <c r="G76" s="156"/>
      <c r="H76" s="156"/>
      <c r="I76" s="156"/>
      <c r="J76" s="156"/>
      <c r="K76" s="156"/>
      <c r="L76" s="156"/>
      <c r="M76" s="156"/>
      <c r="N76" s="156"/>
      <c r="O76" s="1"/>
      <c r="P76" s="1"/>
      <c r="Q76" s="1"/>
    </row>
    <row r="77" spans="1:17" x14ac:dyDescent="0.35">
      <c r="A77" s="1"/>
      <c r="B77" s="157" t="s">
        <v>86</v>
      </c>
      <c r="C77" s="158" t="s">
        <v>87</v>
      </c>
      <c r="D77" s="158" t="s">
        <v>88</v>
      </c>
      <c r="E77" s="158" t="s">
        <v>89</v>
      </c>
      <c r="F77" s="159" t="s">
        <v>90</v>
      </c>
      <c r="G77" s="59"/>
      <c r="H77" s="160"/>
      <c r="I77" s="59"/>
      <c r="J77" s="59"/>
      <c r="K77" s="59"/>
      <c r="L77" s="59"/>
      <c r="M77" s="59"/>
      <c r="N77" s="59"/>
      <c r="O77" s="1"/>
      <c r="P77" s="1"/>
      <c r="Q77" s="1"/>
    </row>
    <row r="78" spans="1:17" x14ac:dyDescent="0.35">
      <c r="A78" s="1"/>
      <c r="B78" s="59" t="s">
        <v>91</v>
      </c>
      <c r="C78" s="161">
        <v>0.1</v>
      </c>
      <c r="D78" s="162">
        <f>1-C78</f>
        <v>0.9</v>
      </c>
      <c r="E78" s="161" t="s">
        <v>92</v>
      </c>
      <c r="F78" s="159"/>
      <c r="G78" s="59"/>
      <c r="H78" s="160"/>
      <c r="I78" s="59"/>
      <c r="J78" s="59"/>
      <c r="K78" s="59"/>
      <c r="L78" s="59"/>
      <c r="M78" s="59"/>
      <c r="N78" s="59"/>
      <c r="O78" s="1"/>
      <c r="P78" s="1"/>
      <c r="Q78" s="1"/>
    </row>
    <row r="79" spans="1:17" x14ac:dyDescent="0.35">
      <c r="A79" s="1"/>
      <c r="B79" s="59" t="s">
        <v>93</v>
      </c>
      <c r="C79" s="59"/>
      <c r="D79" s="59"/>
      <c r="E79" s="161">
        <v>0.05</v>
      </c>
      <c r="F79" s="163" t="str">
        <f>IF(E78="European","Investors get back all of their capital and a "&amp;TEXT(E79,"0.00%")&amp;" pref return.","Investors receive a "&amp;TEXT(E79,"0.00%")&amp;" pref return.")</f>
        <v>Investors receive a 5.00% pref return.</v>
      </c>
      <c r="G79" s="59"/>
      <c r="H79" s="59"/>
      <c r="I79" s="59"/>
      <c r="J79" s="59"/>
      <c r="K79" s="59"/>
      <c r="L79" s="59"/>
      <c r="M79" s="59"/>
      <c r="N79" s="59"/>
      <c r="O79" s="1"/>
      <c r="P79" s="1"/>
      <c r="Q79" s="1"/>
    </row>
    <row r="80" spans="1:17" x14ac:dyDescent="0.35">
      <c r="A80" s="1"/>
      <c r="B80" s="59" t="s">
        <v>94</v>
      </c>
      <c r="C80" s="59"/>
      <c r="D80" s="59"/>
      <c r="E80" s="161" t="s">
        <v>116</v>
      </c>
      <c r="F80" s="163"/>
      <c r="G80" s="59"/>
      <c r="H80" s="59"/>
      <c r="I80" s="95"/>
      <c r="J80" s="59"/>
      <c r="K80" s="59"/>
      <c r="L80" s="59"/>
      <c r="M80" s="59"/>
      <c r="N80" s="59"/>
      <c r="O80" s="1"/>
      <c r="P80" s="1"/>
      <c r="Q80" s="1"/>
    </row>
    <row r="81" spans="1:17" x14ac:dyDescent="0.35">
      <c r="A81" s="1"/>
      <c r="B81" s="59" t="s">
        <v>96</v>
      </c>
      <c r="C81" s="164"/>
      <c r="D81" s="164"/>
      <c r="E81" s="161" t="s">
        <v>95</v>
      </c>
      <c r="F81" s="163" t="str">
        <f>IF(E81="No","","After Investors receive a "&amp;TEXT(E79,"0.00%")&amp;" return on their investment, the Sponsor receives all cash flow until the Sponsor has received at least "&amp;TEXT(C83,"0.00%")&amp;" of aggregate cash flow from the deal.")</f>
        <v/>
      </c>
      <c r="G81" s="59"/>
      <c r="H81" s="59"/>
      <c r="I81" s="59"/>
      <c r="J81" s="59"/>
      <c r="K81" s="59"/>
      <c r="L81" s="59"/>
      <c r="M81" s="59"/>
      <c r="N81" s="59"/>
      <c r="O81" s="1"/>
      <c r="P81" s="1"/>
      <c r="Q81" s="1"/>
    </row>
    <row r="82" spans="1:17" x14ac:dyDescent="0.35">
      <c r="A82" s="1"/>
      <c r="B82" s="157" t="str">
        <f>IF(E81=0,"Splits After Pref","Splits After Pref and Catchup")</f>
        <v>Splits After Pref and Catchup</v>
      </c>
      <c r="C82" s="158" t="s">
        <v>87</v>
      </c>
      <c r="D82" s="158" t="s">
        <v>88</v>
      </c>
      <c r="E82" s="165" t="s">
        <v>97</v>
      </c>
      <c r="F82" s="166"/>
      <c r="G82" s="59"/>
      <c r="H82" s="59"/>
      <c r="I82" s="59"/>
      <c r="J82" s="59"/>
      <c r="K82" s="59"/>
      <c r="L82" s="59"/>
      <c r="M82" s="59"/>
      <c r="N82" s="59"/>
      <c r="O82" s="1"/>
      <c r="P82" s="1"/>
      <c r="Q82" s="1"/>
    </row>
    <row r="83" spans="1:17" x14ac:dyDescent="0.35">
      <c r="A83" s="1"/>
      <c r="B83" s="59" t="s">
        <v>98</v>
      </c>
      <c r="C83" s="161">
        <v>0.3</v>
      </c>
      <c r="D83" s="162">
        <f>1-C83</f>
        <v>0.7</v>
      </c>
      <c r="E83" s="167">
        <v>0.2</v>
      </c>
      <c r="F83" s="163" t="str">
        <f>IF(AND(E81="Yes",E83&gt;0),"After the sponsor has received "&amp;TEXT(C83,"0.00%")&amp;" of the total cash flow from the deal, remaining cash flow is split "&amp;TEXT(C83,"0.00%")&amp;" to the Sponsor and "&amp;TEXT(D83,"0.00%")&amp;" to the Investors until the Investors have received a "&amp;TEXT(E83,"0.00%")&amp;" return.",IF(AND(E81="Yes",E83&lt;=0),"After the sponsor has received "&amp;TEXT(C83,"0.00%")&amp;" of the total cash flow from the deal, remaining cash flow is split "&amp;TEXT(C83,"0.00%")&amp;" to the Sponsor and "&amp;TEXT(D83,"0.00%")&amp;" to the Investors.",IF(AND(E81="No",E83&gt;0),"Remaining cash flow is split "&amp;TEXT(C83,"0.00%")&amp;" to the Sponsor and "&amp;TEXT(D83,"0.00%")&amp;" to the Investors until the Investors have received a "&amp;TEXT(E83,"0.00%")&amp;" return.","Remaining cash flow is split "&amp;TEXT(C83,"0.00%")&amp;" to the Sponsor and "&amp;TEXT(D83,"0.00%")&amp;" to the Investors.")))</f>
        <v>Remaining cash flow is split 30.00% to the Sponsor and 70.00% to the Investors until the Investors have received a 20.00% return.</v>
      </c>
      <c r="G83" s="59"/>
      <c r="H83" s="59"/>
      <c r="I83" s="59"/>
      <c r="J83" s="59"/>
      <c r="K83" s="59"/>
      <c r="L83" s="59"/>
      <c r="M83" s="59"/>
      <c r="N83" s="59"/>
      <c r="O83" s="1"/>
      <c r="P83" s="1"/>
      <c r="Q83" s="1"/>
    </row>
    <row r="84" spans="1:17" x14ac:dyDescent="0.35">
      <c r="A84" s="1"/>
      <c r="B84" s="59" t="s">
        <v>99</v>
      </c>
      <c r="C84" s="161">
        <v>0.5</v>
      </c>
      <c r="D84" s="162">
        <f>1-C84</f>
        <v>0.5</v>
      </c>
      <c r="E84" s="164"/>
      <c r="F84" s="163" t="str">
        <f>IF(E83=0,"","After Investors have received returns of at least "&amp;TEXT(E83,"0.00%")&amp;" on their equity, all remaining cash flow is split "&amp;TEXT(C84,"0.00%")&amp;" to the Sponsor and "&amp;TEXT(D84,"0.00%")&amp;" to the Investors.")</f>
        <v>After Investors have received returns of at least 20.00% on their equity, all remaining cash flow is split 50.00% to the Sponsor and 50.00% to the Investors.</v>
      </c>
      <c r="G84" s="59"/>
      <c r="H84" s="59"/>
      <c r="I84" s="59"/>
      <c r="J84" s="59"/>
      <c r="K84" s="59"/>
      <c r="L84" s="59"/>
      <c r="M84" s="59"/>
      <c r="N84" s="59"/>
      <c r="O84" s="1"/>
      <c r="P84" s="1"/>
      <c r="Q84" s="1"/>
    </row>
    <row r="85" spans="1:17" x14ac:dyDescent="0.35">
      <c r="A85" s="1"/>
      <c r="B85" s="59"/>
      <c r="C85" s="59"/>
      <c r="D85" s="59"/>
      <c r="E85" s="59"/>
      <c r="F85" s="168"/>
      <c r="G85" s="98"/>
      <c r="H85" s="59"/>
      <c r="I85" s="59"/>
      <c r="J85" s="95"/>
      <c r="K85" s="95"/>
      <c r="L85" s="59"/>
      <c r="M85" s="59"/>
      <c r="N85" s="59"/>
      <c r="O85" s="1"/>
      <c r="P85" s="1"/>
      <c r="Q85" s="1"/>
    </row>
    <row r="86" spans="1:17" x14ac:dyDescent="0.35">
      <c r="A86" s="1"/>
      <c r="B86" s="143" t="s">
        <v>100</v>
      </c>
      <c r="C86" s="143"/>
      <c r="D86" s="143"/>
      <c r="E86" s="207">
        <v>1</v>
      </c>
      <c r="F86" s="144">
        <f>E86+1</f>
        <v>2</v>
      </c>
      <c r="G86" s="144">
        <f>F86+1</f>
        <v>3</v>
      </c>
      <c r="H86" s="144">
        <f>G86+1</f>
        <v>4</v>
      </c>
      <c r="I86" s="144">
        <f t="shared" ref="I86:N86" si="19">H86+1</f>
        <v>5</v>
      </c>
      <c r="J86" s="144">
        <f t="shared" si="19"/>
        <v>6</v>
      </c>
      <c r="K86" s="144">
        <f t="shared" si="19"/>
        <v>7</v>
      </c>
      <c r="L86" s="144">
        <f t="shared" si="19"/>
        <v>8</v>
      </c>
      <c r="M86" s="144">
        <f t="shared" si="19"/>
        <v>9</v>
      </c>
      <c r="N86" s="144">
        <f t="shared" si="19"/>
        <v>10</v>
      </c>
      <c r="O86" s="1"/>
      <c r="P86" s="1"/>
      <c r="Q86" s="1"/>
    </row>
    <row r="87" spans="1:17" x14ac:dyDescent="0.35">
      <c r="A87" s="1"/>
      <c r="B87" s="169" t="s">
        <v>117</v>
      </c>
      <c r="C87" s="169"/>
      <c r="D87" s="169"/>
      <c r="E87" s="212">
        <f ca="1">-D75</f>
        <v>0</v>
      </c>
      <c r="F87" s="170">
        <f ca="1">MAX(E87*(1+$E$79)-SUM(E89:E90)-E91,0)</f>
        <v>0</v>
      </c>
      <c r="G87" s="170">
        <f t="shared" ref="G87:N87" ca="1" si="20">MAX(F87*(1+$E$79)-SUM(F89:F90)-F91,0)</f>
        <v>0</v>
      </c>
      <c r="H87" s="170">
        <f t="shared" ca="1" si="20"/>
        <v>0</v>
      </c>
      <c r="I87" s="170">
        <f t="shared" ca="1" si="20"/>
        <v>0</v>
      </c>
      <c r="J87" s="170">
        <f t="shared" ca="1" si="20"/>
        <v>0</v>
      </c>
      <c r="K87" s="170">
        <f t="shared" ca="1" si="20"/>
        <v>0</v>
      </c>
      <c r="L87" s="170">
        <f t="shared" ca="1" si="20"/>
        <v>0</v>
      </c>
      <c r="M87" s="170">
        <f t="shared" ca="1" si="20"/>
        <v>0</v>
      </c>
      <c r="N87" s="170">
        <f t="shared" ca="1" si="20"/>
        <v>0</v>
      </c>
      <c r="O87" s="1"/>
      <c r="P87" s="1"/>
      <c r="Q87" s="1"/>
    </row>
    <row r="88" spans="1:17" x14ac:dyDescent="0.35">
      <c r="A88" s="1"/>
      <c r="B88" s="213" t="s">
        <v>82</v>
      </c>
      <c r="C88" s="213"/>
      <c r="D88" s="214">
        <f ca="1">D75</f>
        <v>0</v>
      </c>
      <c r="E88" s="215">
        <f t="shared" ref="E88:N88" ca="1" si="21">E75</f>
        <v>0</v>
      </c>
      <c r="F88" s="214">
        <f t="shared" ca="1" si="21"/>
        <v>0</v>
      </c>
      <c r="G88" s="214">
        <f t="shared" ca="1" si="21"/>
        <v>0</v>
      </c>
      <c r="H88" s="214">
        <f t="shared" ca="1" si="21"/>
        <v>0</v>
      </c>
      <c r="I88" s="214">
        <f t="shared" ca="1" si="21"/>
        <v>0</v>
      </c>
      <c r="J88" s="214">
        <f t="shared" ca="1" si="21"/>
        <v>0</v>
      </c>
      <c r="K88" s="214">
        <f t="shared" ca="1" si="21"/>
        <v>0</v>
      </c>
      <c r="L88" s="214">
        <f t="shared" ca="1" si="21"/>
        <v>0</v>
      </c>
      <c r="M88" s="214">
        <f t="shared" ca="1" si="21"/>
        <v>0</v>
      </c>
      <c r="N88" s="214">
        <f t="shared" ca="1" si="21"/>
        <v>0</v>
      </c>
      <c r="O88" s="1"/>
      <c r="P88" s="1"/>
      <c r="Q88" s="1"/>
    </row>
    <row r="89" spans="1:17" x14ac:dyDescent="0.35">
      <c r="A89" s="1"/>
      <c r="B89" s="59" t="str">
        <f>IF(E78="American","Preferred Return - LP","Preferred Return &amp; Return of Capital - LP")</f>
        <v>Preferred Return - LP</v>
      </c>
      <c r="C89" s="59"/>
      <c r="D89" s="95"/>
      <c r="E89" s="193">
        <f ca="1">IF($E$78="American",MIN(E75,E87*$E$79)*IF($E$80="Yes",$D$78,1),MIN(E75,E87*(1+$E$79))*IF($E$80="Yes",$D$78,1))</f>
        <v>0</v>
      </c>
      <c r="F89" s="105">
        <f t="shared" ref="F89:N89" ca="1" si="22">IF($E$78="American",MIN(F75,F87*$E$79)*IF($E$80="Yes",$D$78,1),MIN(F75,F87*(1+$E$79))*IF($E$80="Yes",$D$78,1))</f>
        <v>0</v>
      </c>
      <c r="G89" s="105">
        <f t="shared" ca="1" si="22"/>
        <v>0</v>
      </c>
      <c r="H89" s="105">
        <f t="shared" ca="1" si="22"/>
        <v>0</v>
      </c>
      <c r="I89" s="105">
        <f t="shared" ca="1" si="22"/>
        <v>0</v>
      </c>
      <c r="J89" s="105">
        <f t="shared" ca="1" si="22"/>
        <v>0</v>
      </c>
      <c r="K89" s="105">
        <f t="shared" ca="1" si="22"/>
        <v>0</v>
      </c>
      <c r="L89" s="105">
        <f t="shared" ca="1" si="22"/>
        <v>0</v>
      </c>
      <c r="M89" s="105">
        <f t="shared" ca="1" si="22"/>
        <v>0</v>
      </c>
      <c r="N89" s="105">
        <f t="shared" ca="1" si="22"/>
        <v>0</v>
      </c>
      <c r="O89" s="1"/>
      <c r="P89" s="1"/>
      <c r="Q89" s="1"/>
    </row>
    <row r="90" spans="1:17" x14ac:dyDescent="0.35">
      <c r="A90" s="1"/>
      <c r="B90" s="171" t="s">
        <v>101</v>
      </c>
      <c r="C90" s="171"/>
      <c r="D90" s="172"/>
      <c r="E90" s="216">
        <f ca="1">MIN(E75,E87*$E$79)*IF($E$80="Yes",$C$78,0)</f>
        <v>0</v>
      </c>
      <c r="F90" s="172">
        <f t="shared" ref="F90:N90" ca="1" si="23">MIN(F75,F87*$E$79)*IF($E$80="Yes",$C$78,0)</f>
        <v>0</v>
      </c>
      <c r="G90" s="172">
        <f t="shared" ca="1" si="23"/>
        <v>0</v>
      </c>
      <c r="H90" s="172">
        <f t="shared" ca="1" si="23"/>
        <v>0</v>
      </c>
      <c r="I90" s="172">
        <f t="shared" ca="1" si="23"/>
        <v>0</v>
      </c>
      <c r="J90" s="172">
        <f t="shared" ca="1" si="23"/>
        <v>0</v>
      </c>
      <c r="K90" s="172">
        <f t="shared" ca="1" si="23"/>
        <v>0</v>
      </c>
      <c r="L90" s="172">
        <f t="shared" ca="1" si="23"/>
        <v>0</v>
      </c>
      <c r="M90" s="172">
        <f t="shared" ca="1" si="23"/>
        <v>0</v>
      </c>
      <c r="N90" s="172">
        <f t="shared" ca="1" si="23"/>
        <v>0</v>
      </c>
      <c r="O90" s="1"/>
      <c r="P90" s="1"/>
      <c r="Q90" s="1"/>
    </row>
    <row r="91" spans="1:17" x14ac:dyDescent="0.35">
      <c r="A91" s="1"/>
      <c r="B91" s="59" t="s">
        <v>102</v>
      </c>
      <c r="C91" s="59"/>
      <c r="D91" s="59"/>
      <c r="E91" s="217">
        <f ca="1">IF($E$81="Yes",MAX(MIN(E75-SUM(E89:E90)-E92,E93),0),MAX(MIN((E75-SUM(E89:E90))*$D$83,E93),0))</f>
        <v>0</v>
      </c>
      <c r="F91" s="95">
        <f t="shared" ref="F91:N91" ca="1" si="24">IF($E$81="Yes",MAX(MIN(F75-SUM(F89:F90)-F92,F93),0),MAX(MIN((F75-SUM(F89:F90))*$D$83,F93),0))</f>
        <v>0</v>
      </c>
      <c r="G91" s="95">
        <f t="shared" ca="1" si="24"/>
        <v>0</v>
      </c>
      <c r="H91" s="95">
        <f t="shared" ca="1" si="24"/>
        <v>0</v>
      </c>
      <c r="I91" s="95">
        <f t="shared" ca="1" si="24"/>
        <v>0</v>
      </c>
      <c r="J91" s="95">
        <f t="shared" ca="1" si="24"/>
        <v>0</v>
      </c>
      <c r="K91" s="95">
        <f t="shared" ca="1" si="24"/>
        <v>0</v>
      </c>
      <c r="L91" s="95">
        <f t="shared" ca="1" si="24"/>
        <v>0</v>
      </c>
      <c r="M91" s="95">
        <f t="shared" ca="1" si="24"/>
        <v>0</v>
      </c>
      <c r="N91" s="95">
        <f t="shared" ca="1" si="24"/>
        <v>0</v>
      </c>
      <c r="O91" s="1"/>
      <c r="P91" s="1"/>
      <c r="Q91" s="1"/>
    </row>
    <row r="92" spans="1:17" x14ac:dyDescent="0.35">
      <c r="A92" s="1"/>
      <c r="B92" s="171" t="s">
        <v>103</v>
      </c>
      <c r="C92" s="172"/>
      <c r="D92" s="172"/>
      <c r="E92" s="216">
        <f ca="1">IF(E93=0,0,IF($E$81="Yes",MAX(MIN(E75-SUM(E89:E90),SUM($E$75:E75)*$C$83-SUM($D$92:D92)),0),MAX((E75-SUM(E89:E90)),0)*$C$83))</f>
        <v>0</v>
      </c>
      <c r="F92" s="172">
        <f ca="1">IF(F93=0,0,IF($E$81="Yes",MAX(MIN(F75-SUM(F89:F90),SUM($E$75:F75)*$C$83-SUM($D$92:E92)),0),MAX((F75-SUM(F89:F90)),0)*$C$83))</f>
        <v>0</v>
      </c>
      <c r="G92" s="172">
        <f ca="1">IF(G93=0,0,IF($E$81="Yes",MAX(MIN(G75-SUM(G89:G90),SUM($E$75:G75)*$C$83-SUM($D$92:F92)),0),MAX((G75-SUM(G89:G90)),0)*$C$83))</f>
        <v>0</v>
      </c>
      <c r="H92" s="172">
        <f ca="1">IF(H93=0,0,IF($E$81="Yes",MAX(MIN(H75-SUM(H89:H90),SUM($E$75:H75)*$C$83-SUM($D$92:G92)),0),MAX((H75-SUM(H89:H90)),0)*$C$83))</f>
        <v>0</v>
      </c>
      <c r="I92" s="172">
        <f ca="1">IF(I93=0,0,IF($E$81="Yes",MAX(MIN(I75-SUM(I89:I90),SUM($E$75:I75)*$C$83-SUM($D$92:H92)),0),MAX((I75-SUM(I89:I90)),0)*$C$83))</f>
        <v>0</v>
      </c>
      <c r="J92" s="172">
        <f ca="1">IF(J93=0,0,IF($E$81="Yes",MAX(MIN(J75-SUM(J89:J90),SUM($E$75:J75)*$C$83-SUM($D$92:I92)),0),MAX((J75-SUM(J89:J90)),0)*$C$83))</f>
        <v>0</v>
      </c>
      <c r="K92" s="172">
        <f ca="1">IF(K93=0,0,IF($E$81="Yes",MAX(MIN(K75-SUM(K89:K90),SUM($E$75:K75)*$C$83-SUM($D$92:J92)),0),MAX((K75-SUM(K89:K90)),0)*$C$83))</f>
        <v>0</v>
      </c>
      <c r="L92" s="172">
        <f>IF(L93=0,0,IF($E$81="Yes",MAX(MIN(L75-SUM(L89:L90),SUM($E$75:L75)*$C$83-SUM($D$92:K92)),0),MAX((L75-SUM(L89:L90)),0)*$C$83))</f>
        <v>0</v>
      </c>
      <c r="M92" s="172">
        <f>IF(M93=0,0,IF($E$81="Yes",MAX(MIN(M75-SUM(M89:M90),SUM($E$75:M75)*$C$83-SUM($D$92:L92)),0),MAX((M75-SUM(M89:M90)),0)*$C$83))</f>
        <v>0</v>
      </c>
      <c r="N92" s="172">
        <f>IF(N93=0,0,IF($E$81="Yes",MAX(MIN(N75-SUM(N89:N90),SUM($E$75:N75)*$C$83-SUM($D$92:M92)),0),MAX((N75-SUM(N89:N90)),0)*$C$83))</f>
        <v>0</v>
      </c>
      <c r="O92" s="1"/>
      <c r="P92" s="1"/>
      <c r="Q92" s="1"/>
    </row>
    <row r="93" spans="1:17" x14ac:dyDescent="0.35">
      <c r="A93" s="1"/>
      <c r="B93" s="171" t="s">
        <v>104</v>
      </c>
      <c r="C93" s="173"/>
      <c r="D93" s="172"/>
      <c r="E93" s="216">
        <f ca="1">IF(E71&lt;=$E$20,-$D$75*(1+$E$83),0)</f>
        <v>0</v>
      </c>
      <c r="F93" s="172">
        <f ca="1">IF(F71&lt;=$E$20,MAX((E93-E89-E91)*(1+$E$83),0),0)</f>
        <v>0</v>
      </c>
      <c r="G93" s="172">
        <f ca="1">IF(G71&lt;=$E$20,MAX((F93-F89-F91)*(1+$E$83),0),0)</f>
        <v>0</v>
      </c>
      <c r="H93" s="172">
        <f ca="1">IF(H71&lt;=$E$20,MAX((G93-G89-G91)*(1+$E$83),0),0)</f>
        <v>0</v>
      </c>
      <c r="I93" s="172">
        <f ca="1">IF(I71&lt;=$E$20,MAX((H93-H89-H91)*(1+$E$83),0),0)</f>
        <v>0</v>
      </c>
      <c r="J93" s="172">
        <f ca="1">IF(J71&lt;=$E$20,MAX((I93-I89-I91)*(1+$E$83),0),0)</f>
        <v>0</v>
      </c>
      <c r="K93" s="172">
        <f ca="1">IF(K71&lt;=$E$20,MAX((J93-J89-J91)*(1+$E$83),0),0)</f>
        <v>0</v>
      </c>
      <c r="L93" s="172">
        <f>IF(L71&lt;=$E$20,MAX((K93-K89-K91)*(1+$E$83),0),0)</f>
        <v>0</v>
      </c>
      <c r="M93" s="172">
        <f>IF(M71&lt;=$E$20,MAX((L93-L89-L91)*(1+$E$83),0),0)</f>
        <v>0</v>
      </c>
      <c r="N93" s="172">
        <f>IF(N71&lt;=$E$20,MAX((M93-M89-M91)*(1+$E$83),0),0)</f>
        <v>0</v>
      </c>
      <c r="O93" s="1"/>
      <c r="P93" s="1"/>
      <c r="Q93" s="1"/>
    </row>
    <row r="94" spans="1:17" x14ac:dyDescent="0.35">
      <c r="A94" s="1"/>
      <c r="B94" s="59" t="s">
        <v>105</v>
      </c>
      <c r="C94" s="59"/>
      <c r="D94" s="59"/>
      <c r="E94" s="217">
        <f t="shared" ref="E94:N94" ca="1" si="25">(E$75-SUM(E89:E90)-E$92-E$91)*$D$84</f>
        <v>0</v>
      </c>
      <c r="F94" s="95">
        <f t="shared" ca="1" si="25"/>
        <v>0</v>
      </c>
      <c r="G94" s="95">
        <f t="shared" ca="1" si="25"/>
        <v>0</v>
      </c>
      <c r="H94" s="95">
        <f t="shared" ca="1" si="25"/>
        <v>0</v>
      </c>
      <c r="I94" s="95">
        <f t="shared" ca="1" si="25"/>
        <v>0</v>
      </c>
      <c r="J94" s="95">
        <f t="shared" ca="1" si="25"/>
        <v>0</v>
      </c>
      <c r="K94" s="95">
        <f t="shared" ca="1" si="25"/>
        <v>0</v>
      </c>
      <c r="L94" s="95">
        <f t="shared" ca="1" si="25"/>
        <v>0</v>
      </c>
      <c r="M94" s="95">
        <f t="shared" ca="1" si="25"/>
        <v>0</v>
      </c>
      <c r="N94" s="95">
        <f t="shared" ca="1" si="25"/>
        <v>0</v>
      </c>
      <c r="O94" s="1"/>
      <c r="P94" s="1"/>
      <c r="Q94" s="1"/>
    </row>
    <row r="95" spans="1:17" x14ac:dyDescent="0.35">
      <c r="A95" s="1"/>
      <c r="B95" s="59" t="s">
        <v>106</v>
      </c>
      <c r="C95" s="59"/>
      <c r="D95" s="59"/>
      <c r="E95" s="217">
        <f t="shared" ref="E95:N95" ca="1" si="26">(E$75-SUM(E89:E90)-E$92-E$91)*$C$84</f>
        <v>0</v>
      </c>
      <c r="F95" s="95">
        <f t="shared" ca="1" si="26"/>
        <v>0</v>
      </c>
      <c r="G95" s="95">
        <f t="shared" ca="1" si="26"/>
        <v>0</v>
      </c>
      <c r="H95" s="95">
        <f t="shared" ca="1" si="26"/>
        <v>0</v>
      </c>
      <c r="I95" s="95">
        <f t="shared" ca="1" si="26"/>
        <v>0</v>
      </c>
      <c r="J95" s="95">
        <f t="shared" ca="1" si="26"/>
        <v>0</v>
      </c>
      <c r="K95" s="95">
        <f t="shared" ca="1" si="26"/>
        <v>0</v>
      </c>
      <c r="L95" s="95">
        <f t="shared" ca="1" si="26"/>
        <v>0</v>
      </c>
      <c r="M95" s="95">
        <f t="shared" ca="1" si="26"/>
        <v>0</v>
      </c>
      <c r="N95" s="95">
        <f t="shared" ca="1" si="26"/>
        <v>0</v>
      </c>
      <c r="O95" s="1"/>
      <c r="P95" s="1"/>
      <c r="Q95" s="1"/>
    </row>
    <row r="96" spans="1:17" x14ac:dyDescent="0.35">
      <c r="A96" s="1"/>
      <c r="B96" s="143" t="s">
        <v>107</v>
      </c>
      <c r="C96" s="174"/>
      <c r="D96" s="143"/>
      <c r="E96" s="218"/>
      <c r="F96" s="175"/>
      <c r="G96" s="175"/>
      <c r="H96" s="175"/>
      <c r="I96" s="175"/>
      <c r="J96" s="175"/>
      <c r="K96" s="175"/>
      <c r="L96" s="175"/>
      <c r="M96" s="175"/>
      <c r="N96" s="175"/>
      <c r="O96" s="1"/>
      <c r="P96" s="1"/>
      <c r="Q96" s="1"/>
    </row>
    <row r="97" spans="1:17" x14ac:dyDescent="0.35">
      <c r="A97" s="1"/>
      <c r="B97" s="59" t="s">
        <v>108</v>
      </c>
      <c r="C97" s="176"/>
      <c r="D97" s="95">
        <f ca="1">D75*$D$78</f>
        <v>0</v>
      </c>
      <c r="E97" s="217">
        <f t="shared" ref="E97:N97" ca="1" si="27">E89+E91+E94</f>
        <v>0</v>
      </c>
      <c r="F97" s="95">
        <f t="shared" ca="1" si="27"/>
        <v>0</v>
      </c>
      <c r="G97" s="95">
        <f t="shared" ca="1" si="27"/>
        <v>0</v>
      </c>
      <c r="H97" s="95">
        <f t="shared" ca="1" si="27"/>
        <v>0</v>
      </c>
      <c r="I97" s="95">
        <f t="shared" ca="1" si="27"/>
        <v>0</v>
      </c>
      <c r="J97" s="95">
        <f t="shared" ca="1" si="27"/>
        <v>0</v>
      </c>
      <c r="K97" s="95">
        <f t="shared" ca="1" si="27"/>
        <v>0</v>
      </c>
      <c r="L97" s="95">
        <f t="shared" ca="1" si="27"/>
        <v>0</v>
      </c>
      <c r="M97" s="95">
        <f t="shared" ca="1" si="27"/>
        <v>0</v>
      </c>
      <c r="N97" s="95">
        <f t="shared" ca="1" si="27"/>
        <v>0</v>
      </c>
      <c r="O97" s="1"/>
      <c r="P97" s="1"/>
      <c r="Q97" s="1"/>
    </row>
    <row r="98" spans="1:17" x14ac:dyDescent="0.35">
      <c r="A98" s="1"/>
      <c r="B98" s="171" t="s">
        <v>109</v>
      </c>
      <c r="C98" s="171"/>
      <c r="D98" s="172">
        <f ca="1">D75*$C$78</f>
        <v>0</v>
      </c>
      <c r="E98" s="216">
        <f ca="1">E92+E95+E90</f>
        <v>0</v>
      </c>
      <c r="F98" s="172">
        <f t="shared" ref="F98:N98" ca="1" si="28">F92+F95+F90</f>
        <v>0</v>
      </c>
      <c r="G98" s="172">
        <f t="shared" ca="1" si="28"/>
        <v>0</v>
      </c>
      <c r="H98" s="172">
        <f t="shared" ca="1" si="28"/>
        <v>0</v>
      </c>
      <c r="I98" s="172">
        <f t="shared" ca="1" si="28"/>
        <v>0</v>
      </c>
      <c r="J98" s="172">
        <f t="shared" ca="1" si="28"/>
        <v>0</v>
      </c>
      <c r="K98" s="172">
        <f t="shared" ca="1" si="28"/>
        <v>0</v>
      </c>
      <c r="L98" s="172">
        <f t="shared" ca="1" si="28"/>
        <v>0</v>
      </c>
      <c r="M98" s="172">
        <f t="shared" ca="1" si="28"/>
        <v>0</v>
      </c>
      <c r="N98" s="172">
        <f t="shared" ca="1" si="28"/>
        <v>0</v>
      </c>
      <c r="O98" s="1"/>
      <c r="P98" s="1"/>
      <c r="Q98" s="1"/>
    </row>
    <row r="99" spans="1:17" x14ac:dyDescent="0.35">
      <c r="A99" s="1"/>
      <c r="B99" s="177" t="s">
        <v>110</v>
      </c>
      <c r="C99" s="177"/>
      <c r="D99" s="178">
        <f t="shared" ref="D99:N99" ca="1" si="29">SUM(D97:D98)</f>
        <v>0</v>
      </c>
      <c r="E99" s="219">
        <f t="shared" ca="1" si="29"/>
        <v>0</v>
      </c>
      <c r="F99" s="178">
        <f t="shared" ca="1" si="29"/>
        <v>0</v>
      </c>
      <c r="G99" s="178">
        <f t="shared" ca="1" si="29"/>
        <v>0</v>
      </c>
      <c r="H99" s="178">
        <f t="shared" ca="1" si="29"/>
        <v>0</v>
      </c>
      <c r="I99" s="178">
        <f t="shared" ca="1" si="29"/>
        <v>0</v>
      </c>
      <c r="J99" s="178">
        <f t="shared" ca="1" si="29"/>
        <v>0</v>
      </c>
      <c r="K99" s="178">
        <f t="shared" ca="1" si="29"/>
        <v>0</v>
      </c>
      <c r="L99" s="178">
        <f t="shared" ca="1" si="29"/>
        <v>0</v>
      </c>
      <c r="M99" s="178">
        <f t="shared" ca="1" si="29"/>
        <v>0</v>
      </c>
      <c r="N99" s="178">
        <f t="shared" ca="1" si="29"/>
        <v>0</v>
      </c>
      <c r="O99" s="1"/>
      <c r="P99" s="1"/>
      <c r="Q99" s="1"/>
    </row>
    <row r="100" spans="1:17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</sheetData>
  <mergeCells count="1">
    <mergeCell ref="B2:H3"/>
  </mergeCells>
  <conditionalFormatting sqref="G7">
    <cfRule type="expression" dxfId="1" priority="1">
      <formula>#REF!="No"</formula>
    </cfRule>
  </conditionalFormatting>
  <conditionalFormatting sqref="G8:G17 B19">
    <cfRule type="expression" dxfId="0" priority="2">
      <formula>#REF!="No"</formula>
    </cfRule>
  </conditionalFormatting>
  <dataValidations disablePrompts="1" count="3">
    <dataValidation type="list" showInputMessage="1" showErrorMessage="1" sqref="E80:E81" xr:uid="{A2CEEF73-24BE-423F-977B-60EEC7E55902}">
      <formula1>"Yes,No"</formula1>
    </dataValidation>
    <dataValidation type="list" allowBlank="1" showInputMessage="1" showErrorMessage="1" sqref="C72" xr:uid="{0CCBCC11-5FA5-4315-B9F3-043F90622D71}">
      <formula1>"Leveraged,Unleveraged"</formula1>
    </dataValidation>
    <dataValidation type="list" showInputMessage="1" showErrorMessage="1" sqref="E78" xr:uid="{8E084AE4-1ADE-4D6E-B945-4BB46D7093EA}">
      <formula1>"American,European"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Rutzen</dc:creator>
  <cp:lastModifiedBy>Marc Rutzen</cp:lastModifiedBy>
  <dcterms:created xsi:type="dcterms:W3CDTF">2024-11-11T17:28:21Z</dcterms:created>
  <dcterms:modified xsi:type="dcterms:W3CDTF">2024-11-11T18:38:30Z</dcterms:modified>
</cp:coreProperties>
</file>